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7.xml" ContentType="application/vnd.openxmlformats-officedocument.spreadsheetml.comments+xml"/>
  <Override PartName="/xl/drawings/drawing25.xml" ContentType="application/vnd.openxmlformats-officedocument.drawing+xml"/>
  <Override PartName="/xl/comments8.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0.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crautonomagovco-my.sharepoint.com/personal/rmoreno_crautonoma_gov_co/Documents/INFORMES DE GESTION 2018-2024/INF.DE GESTION 2025/INFORME GESTION A DIC.31-2025/INF.GESTION 2025 CONSEJO DIRECTIVO-MADS/"/>
    </mc:Choice>
  </mc:AlternateContent>
  <xr:revisionPtr revIDLastSave="0" documentId="8_{16810282-17DD-4C75-96AC-567BB4B1E3E3}" xr6:coauthVersionLast="47" xr6:coauthVersionMax="47" xr10:uidLastSave="{00000000-0000-0000-0000-000000000000}"/>
  <bookViews>
    <workbookView xWindow="28680" yWindow="-120" windowWidth="29040" windowHeight="15720" tabRatio="573" firstSheet="3" activeTab="5" xr2:uid="{21585D0C-606E-A34C-B7C8-12532F53C6FA}"/>
  </bookViews>
  <sheets>
    <sheet name="Hoja1" sheetId="41" state="hidden" r:id="rId1"/>
    <sheet name="Informe Ingresos" sheetId="36" state="hidden" r:id="rId2"/>
    <sheet name="PROTOCOLO INGRESOS" sheetId="39" state="hidden" r:id="rId3"/>
    <sheet name="Datos Generales" sheetId="44" r:id="rId4"/>
    <sheet name="Protocolo Inf Gestión" sheetId="46" r:id="rId5"/>
    <sheet name="Anexo1_Matriz avance fisico-fin" sheetId="47" r:id="rId6"/>
    <sheet name="Anexo 3 Matriz IMG" sheetId="19" r:id="rId7"/>
    <sheet name="1POMCAS" sheetId="1" r:id="rId8"/>
    <sheet name="2PORH" sheetId="2" r:id="rId9"/>
    <sheet name="3PSMV" sheetId="3" r:id="rId10"/>
    <sheet name="4UsoAguas" sheetId="4" r:id="rId11"/>
    <sheet name="5PUEAA" sheetId="5" r:id="rId12"/>
    <sheet name="6POMCASejec" sheetId="6" r:id="rId13"/>
    <sheet name="7Clima" sheetId="8" r:id="rId14"/>
    <sheet name="8Suelo" sheetId="9" r:id="rId15"/>
    <sheet name="9RUNAP" sheetId="10" r:id="rId16"/>
    <sheet name="10Paramos" sheetId="11" r:id="rId17"/>
    <sheet name="11Forest" sheetId="12" r:id="rId18"/>
    <sheet name="12PlanesAP" sheetId="13" r:id="rId19"/>
    <sheet name="13Amenaz" sheetId="14" r:id="rId20"/>
    <sheet name="14Invasor" sheetId="15" r:id="rId21"/>
    <sheet name="15Restaura" sheetId="16" r:id="rId22"/>
    <sheet name="16MIZC" sheetId="17" r:id="rId23"/>
    <sheet name="17PGIRS" sheetId="18" r:id="rId24"/>
    <sheet name="18Sector" sheetId="20" r:id="rId25"/>
    <sheet name="19GAU" sheetId="21" r:id="rId26"/>
    <sheet name="20Negoc" sheetId="22" r:id="rId27"/>
    <sheet name="21TiempoT" sheetId="23" r:id="rId28"/>
    <sheet name="22Autor" sheetId="24" r:id="rId29"/>
    <sheet name="23Sanc" sheetId="25" r:id="rId30"/>
    <sheet name="24POT" sheetId="26" r:id="rId31"/>
    <sheet name="25Redes" sheetId="27" r:id="rId32"/>
    <sheet name="26SIAC" sheetId="28" r:id="rId33"/>
    <sheet name="27Educa" sheetId="29" r:id="rId34"/>
    <sheet name="Observa" sheetId="32" r:id="rId35"/>
    <sheet name="Formulas" sheetId="33" r:id="rId36"/>
  </sheets>
  <externalReferences>
    <externalReference r:id="rId37"/>
  </externalReferences>
  <definedNames>
    <definedName name="_xlnm._FilterDatabase" localSheetId="9" hidden="1">'3PSMV'!$E$6:$E$75</definedName>
    <definedName name="_xlnm._FilterDatabase" localSheetId="5" hidden="1">'Anexo1_Matriz avance fisico-fin'!$A$6:$BR$6</definedName>
    <definedName name="_xlnm._FilterDatabase" localSheetId="1" hidden="1">'Informe Ingresos'!$A$6:$XES$320</definedName>
    <definedName name="_Toc467769469" localSheetId="8">'2PORH'!#REF!</definedName>
    <definedName name="_Toc467769470" localSheetId="9">'3PSMV'!#REF!</definedName>
    <definedName name="_Toc467769471" localSheetId="10">'4UsoAguas'!#REF!</definedName>
    <definedName name="_Toc467769472" localSheetId="11">'5PUEAA'!#REF!</definedName>
    <definedName name="_Toc467769473" localSheetId="12">'6POMCASejec'!#REF!</definedName>
    <definedName name="_Toc467769474" localSheetId="13">'7Clima'!#REF!</definedName>
    <definedName name="_Toc467769475" localSheetId="14">'8Suelo'!#REF!</definedName>
    <definedName name="_Toc467769476" localSheetId="15">'9RUNAP'!$B$6</definedName>
    <definedName name="_Toc467769477" localSheetId="16">'10Paramos'!#REF!</definedName>
    <definedName name="_Toc467769478" localSheetId="17">'11Forest'!#REF!</definedName>
    <definedName name="_Toc467769479" localSheetId="18">'12PlanesAP'!#REF!</definedName>
    <definedName name="_Toc467769480" localSheetId="19">'13Amenaz'!#REF!</definedName>
    <definedName name="_Toc467769481" localSheetId="20">'14Invasor'!#REF!</definedName>
    <definedName name="_Toc467769482" localSheetId="21">'15Restaura'!#REF!</definedName>
    <definedName name="_Toc467769483" localSheetId="22">'16MIZC'!#REF!</definedName>
    <definedName name="_Toc467769484" localSheetId="23">'17PGIRS'!#REF!</definedName>
    <definedName name="_Toc467769485" localSheetId="24">'18Sector'!#REF!</definedName>
    <definedName name="_Toc467769486" localSheetId="25">'19GAU'!#REF!</definedName>
    <definedName name="_Toc467769487" localSheetId="26">'20Negoc'!#REF!</definedName>
    <definedName name="_Toc467769488" localSheetId="27">'21TiempoT'!#REF!</definedName>
    <definedName name="_Toc467769489" localSheetId="28">'22Autor'!#REF!</definedName>
    <definedName name="_Toc467769490" localSheetId="29">'23Sanc'!#REF!</definedName>
    <definedName name="_Toc467769491" localSheetId="30">'24POT'!#REF!</definedName>
    <definedName name="_Toc467769492" localSheetId="31">'25Redes'!#REF!</definedName>
    <definedName name="_Toc467769493" localSheetId="32">'26SIAC'!#REF!</definedName>
    <definedName name="_Toc467769494" localSheetId="33">'27Educa'!#REF!</definedName>
    <definedName name="_xlnm.Print_Area" localSheetId="1">'Informe Ingresos'!#REF!</definedName>
    <definedName name="_xlnm.Print_Area" localSheetId="4">'Protocolo Inf Gestión'!$A$1:$B$44</definedName>
    <definedName name="GASTOS" comment="OPCION SI O NO">#REF!</definedName>
    <definedName name="Informe" comment="OPCION SI O NO">#REF!</definedName>
    <definedName name="INGRESOS">#REF!</definedName>
    <definedName name="Lista_CAR" localSheetId="3">'Datos Generales'!$H$5:$H$37</definedName>
    <definedName name="Lista_CAR" localSheetId="4">#REF!</definedName>
    <definedName name="Lista_CAR">#REF!</definedName>
    <definedName name="rafa" comment="SI SE REPORTA">#REF!</definedName>
    <definedName name="REPORTE" comment="SI SE REPORTA" localSheetId="3">#REF!</definedName>
    <definedName name="REPORTE" comment="SI SE REPORTA" localSheetId="4">#REF!</definedName>
    <definedName name="REPORTE" comment="SI SE REPORTA">Formulas!$F$33:$F$34</definedName>
    <definedName name="SI" comment="OPCION SI O NO" localSheetId="3">#REF!</definedName>
    <definedName name="SI" comment="OPCION SI O NO" localSheetId="4">#REF!</definedName>
    <definedName name="SI" comment="OPCION SI O NO">Formulas!$D$33:$D$34</definedName>
    <definedName name="Vigencias" localSheetId="3">'Datos Generales'!$H$39:$H$46</definedName>
    <definedName name="Vigencias" localSheetId="4">#REF!</definedName>
    <definedName name="Vigenci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283" i="47" l="1"/>
  <c r="BI283" i="47"/>
  <c r="BA283" i="47"/>
  <c r="AZ283" i="47"/>
  <c r="BH283" i="47" s="1"/>
  <c r="AY283" i="47"/>
  <c r="BG283" i="47" s="1"/>
  <c r="AW283" i="47"/>
  <c r="AV283" i="47"/>
  <c r="AU283" i="47"/>
  <c r="AP283" i="47"/>
  <c r="AO283" i="47"/>
  <c r="AN283" i="47"/>
  <c r="AM283" i="47"/>
  <c r="AH283" i="47"/>
  <c r="AH280" i="47" s="1"/>
  <c r="AD283" i="47"/>
  <c r="W283" i="47"/>
  <c r="X283" i="47" s="1"/>
  <c r="V283" i="47"/>
  <c r="Q283" i="47"/>
  <c r="P283" i="47"/>
  <c r="BM282" i="47"/>
  <c r="BK282" i="47"/>
  <c r="BJ282" i="47"/>
  <c r="BN282" i="47" s="1"/>
  <c r="BA282" i="47"/>
  <c r="BI282" i="47" s="1"/>
  <c r="AZ282" i="47"/>
  <c r="BH282" i="47" s="1"/>
  <c r="AY282" i="47"/>
  <c r="AX282" i="47"/>
  <c r="BF282" i="47" s="1"/>
  <c r="AW282" i="47"/>
  <c r="AV282" i="47"/>
  <c r="AU282" i="47"/>
  <c r="AT282" i="47"/>
  <c r="AO282" i="47"/>
  <c r="AN282" i="47"/>
  <c r="AM282" i="47"/>
  <c r="AL282" i="47"/>
  <c r="W282" i="47"/>
  <c r="X282" i="47" s="1"/>
  <c r="V282" i="47"/>
  <c r="Q282" i="47"/>
  <c r="P282" i="47"/>
  <c r="BM281" i="47"/>
  <c r="BN281" i="47" s="1"/>
  <c r="BK281" i="47"/>
  <c r="BL281" i="47" s="1"/>
  <c r="BJ281" i="47"/>
  <c r="BH281" i="47"/>
  <c r="BG281" i="47"/>
  <c r="BF281" i="47"/>
  <c r="BA281" i="47"/>
  <c r="BI281" i="47" s="1"/>
  <c r="AZ281" i="47"/>
  <c r="AY281" i="47"/>
  <c r="AX281" i="47"/>
  <c r="AW281" i="47"/>
  <c r="AV281" i="47"/>
  <c r="AU281" i="47"/>
  <c r="AT281" i="47"/>
  <c r="AO281" i="47"/>
  <c r="AN281" i="47"/>
  <c r="AM281" i="47"/>
  <c r="AL281" i="47"/>
  <c r="W281" i="47"/>
  <c r="X281" i="47" s="1"/>
  <c r="V281" i="47"/>
  <c r="S281" i="47"/>
  <c r="R281" i="47"/>
  <c r="Q281" i="47"/>
  <c r="Q280" i="47" s="1"/>
  <c r="Q279" i="47" s="1"/>
  <c r="P281" i="47"/>
  <c r="BE280" i="47"/>
  <c r="BD280" i="47"/>
  <c r="BC280" i="47"/>
  <c r="BB280" i="47"/>
  <c r="BA280" i="47"/>
  <c r="AW280" i="47"/>
  <c r="AS280" i="47"/>
  <c r="AR280" i="47"/>
  <c r="AQ280" i="47"/>
  <c r="AO280" i="47"/>
  <c r="AK280" i="47"/>
  <c r="AJ280" i="47"/>
  <c r="AI280" i="47"/>
  <c r="AG280" i="47"/>
  <c r="AF280" i="47"/>
  <c r="AF279" i="47" s="1"/>
  <c r="AE280" i="47"/>
  <c r="W280" i="47"/>
  <c r="S280" i="47"/>
  <c r="R280" i="47"/>
  <c r="BE279" i="47"/>
  <c r="BD279" i="47"/>
  <c r="AS279" i="47"/>
  <c r="AK279" i="47"/>
  <c r="AJ279" i="47"/>
  <c r="AI279" i="47"/>
  <c r="AH279" i="47"/>
  <c r="AG279" i="47"/>
  <c r="W279" i="47"/>
  <c r="S279" i="47"/>
  <c r="R279" i="47"/>
  <c r="BN278" i="47"/>
  <c r="BM278" i="47"/>
  <c r="BJ278" i="47"/>
  <c r="BA278" i="47"/>
  <c r="AZ278" i="47"/>
  <c r="AW278" i="47"/>
  <c r="AV278" i="47"/>
  <c r="AU278" i="47"/>
  <c r="AT278" i="47"/>
  <c r="AQ278" i="47"/>
  <c r="AP278" i="47"/>
  <c r="AO278" i="47"/>
  <c r="AN278" i="47"/>
  <c r="AM278" i="47"/>
  <c r="AL278" i="47"/>
  <c r="AI278" i="47"/>
  <c r="AY278" i="47" s="1"/>
  <c r="BG278" i="47" s="1"/>
  <c r="AH278" i="47"/>
  <c r="AD278" i="47"/>
  <c r="X278" i="47"/>
  <c r="W278" i="47"/>
  <c r="V278" i="47"/>
  <c r="S278" i="47"/>
  <c r="R278" i="47"/>
  <c r="Q278" i="47"/>
  <c r="P278" i="47"/>
  <c r="BK277" i="47"/>
  <c r="BI277" i="47"/>
  <c r="BH277" i="47"/>
  <c r="BG277" i="47"/>
  <c r="BA277" i="47"/>
  <c r="AZ277" i="47"/>
  <c r="AY277" i="47"/>
  <c r="AY276" i="47" s="1"/>
  <c r="BG276" i="47" s="1"/>
  <c r="AX277" i="47"/>
  <c r="AW277" i="47"/>
  <c r="AV277" i="47"/>
  <c r="AQ277" i="47"/>
  <c r="AQ276" i="47" s="1"/>
  <c r="AU276" i="47" s="1"/>
  <c r="AP277" i="47"/>
  <c r="AO277" i="47"/>
  <c r="AN277" i="47"/>
  <c r="AI277" i="47"/>
  <c r="AM277" i="47" s="1"/>
  <c r="AH277" i="47"/>
  <c r="AD277" i="47"/>
  <c r="W277" i="47"/>
  <c r="X277" i="47" s="1"/>
  <c r="X276" i="47" s="1"/>
  <c r="V277" i="47"/>
  <c r="S277" i="47"/>
  <c r="R277" i="47"/>
  <c r="Q277" i="47"/>
  <c r="P277" i="47"/>
  <c r="BE276" i="47"/>
  <c r="BD276" i="47"/>
  <c r="BC276" i="47"/>
  <c r="BB276" i="47"/>
  <c r="AS276" i="47"/>
  <c r="AW276" i="47" s="1"/>
  <c r="AR276" i="47"/>
  <c r="AV276" i="47" s="1"/>
  <c r="AK276" i="47"/>
  <c r="AO276" i="47" s="1"/>
  <c r="AJ276" i="47"/>
  <c r="AI276" i="47"/>
  <c r="AM276" i="47" s="1"/>
  <c r="AG276" i="47"/>
  <c r="AF276" i="47"/>
  <c r="AE276" i="47"/>
  <c r="W276" i="47"/>
  <c r="S276" i="47"/>
  <c r="R276" i="47"/>
  <c r="Q276" i="47"/>
  <c r="P276" i="47"/>
  <c r="BM275" i="47"/>
  <c r="BN275" i="47" s="1"/>
  <c r="BF275" i="47"/>
  <c r="BA275" i="47"/>
  <c r="BI275" i="47" s="1"/>
  <c r="AZ275" i="47"/>
  <c r="BH275" i="47" s="1"/>
  <c r="AX275" i="47"/>
  <c r="AW275" i="47"/>
  <c r="AV275" i="47"/>
  <c r="AU275" i="47"/>
  <c r="AQ275" i="47"/>
  <c r="AP275" i="47"/>
  <c r="AT275" i="47" s="1"/>
  <c r="AO275" i="47"/>
  <c r="AN275" i="47"/>
  <c r="AM275" i="47"/>
  <c r="AL275" i="47"/>
  <c r="AI275" i="47"/>
  <c r="AY275" i="47" s="1"/>
  <c r="BG275" i="47" s="1"/>
  <c r="AH275" i="47"/>
  <c r="AD275" i="47"/>
  <c r="BJ275" i="47" s="1"/>
  <c r="X275" i="47"/>
  <c r="W275" i="47"/>
  <c r="V275" i="47"/>
  <c r="S275" i="47"/>
  <c r="R275" i="47"/>
  <c r="Q275" i="47"/>
  <c r="P275" i="47"/>
  <c r="BM274" i="47"/>
  <c r="BN274" i="47" s="1"/>
  <c r="BJ274" i="47"/>
  <c r="BI274" i="47"/>
  <c r="BH274" i="47"/>
  <c r="BA274" i="47"/>
  <c r="AZ274" i="47"/>
  <c r="AZ273" i="47" s="1"/>
  <c r="AX274" i="47"/>
  <c r="AW274" i="47"/>
  <c r="AV274" i="47"/>
  <c r="AU274" i="47"/>
  <c r="AT274" i="47"/>
  <c r="AQ274" i="47"/>
  <c r="AO274" i="47"/>
  <c r="AN274" i="47"/>
  <c r="AL274" i="47"/>
  <c r="AI274" i="47"/>
  <c r="W274" i="47"/>
  <c r="X274" i="47" s="1"/>
  <c r="V274" i="47"/>
  <c r="S274" i="47"/>
  <c r="S273" i="47" s="1"/>
  <c r="R274" i="47"/>
  <c r="R273" i="47" s="1"/>
  <c r="Q274" i="47"/>
  <c r="BE273" i="47"/>
  <c r="BI273" i="47" s="1"/>
  <c r="BD273" i="47"/>
  <c r="BC273" i="47"/>
  <c r="BB273" i="47"/>
  <c r="BA273" i="47"/>
  <c r="AV273" i="47"/>
  <c r="AS273" i="47"/>
  <c r="AR273" i="47"/>
  <c r="AQ273" i="47"/>
  <c r="AP273" i="47"/>
  <c r="BM273" i="47" s="1"/>
  <c r="AO273" i="47"/>
  <c r="AK273" i="47"/>
  <c r="AJ273" i="47"/>
  <c r="AH273" i="47"/>
  <c r="AG273" i="47"/>
  <c r="AW273" i="47" s="1"/>
  <c r="AF273" i="47"/>
  <c r="AE273" i="47"/>
  <c r="W273" i="47"/>
  <c r="Q273" i="47"/>
  <c r="P273" i="47"/>
  <c r="BK272" i="47"/>
  <c r="BL272" i="47" s="1"/>
  <c r="BJ272" i="47"/>
  <c r="BI272" i="47"/>
  <c r="BH272" i="47"/>
  <c r="BA272" i="47"/>
  <c r="AZ272" i="47"/>
  <c r="AY272" i="47"/>
  <c r="BG272" i="47" s="1"/>
  <c r="AW272" i="47"/>
  <c r="AV272" i="47"/>
  <c r="AU272" i="47"/>
  <c r="AT272" i="47"/>
  <c r="AP272" i="47"/>
  <c r="AO272" i="47"/>
  <c r="AN272" i="47"/>
  <c r="AM272" i="47"/>
  <c r="AH272" i="47"/>
  <c r="AD272" i="47"/>
  <c r="W272" i="47"/>
  <c r="X272" i="47" s="1"/>
  <c r="V272" i="47"/>
  <c r="S272" i="47"/>
  <c r="R272" i="47"/>
  <c r="Q272" i="47"/>
  <c r="Q270" i="47" s="1"/>
  <c r="P272" i="47"/>
  <c r="BK271" i="47"/>
  <c r="BJ271" i="47"/>
  <c r="BI271" i="47"/>
  <c r="BG271" i="47"/>
  <c r="BA271" i="47"/>
  <c r="AZ271" i="47"/>
  <c r="BH271" i="47" s="1"/>
  <c r="AY271" i="47"/>
  <c r="AW271" i="47"/>
  <c r="AV271" i="47"/>
  <c r="AU271" i="47"/>
  <c r="AT271" i="47"/>
  <c r="AP271" i="47"/>
  <c r="BM271" i="47" s="1"/>
  <c r="AO271" i="47"/>
  <c r="AN271" i="47"/>
  <c r="AM271" i="47"/>
  <c r="AL271" i="47"/>
  <c r="AH271" i="47"/>
  <c r="AD271" i="47"/>
  <c r="W271" i="47"/>
  <c r="X271" i="47" s="1"/>
  <c r="V271" i="47"/>
  <c r="S271" i="47"/>
  <c r="S270" i="47" s="1"/>
  <c r="S269" i="47" s="1"/>
  <c r="R271" i="47"/>
  <c r="P271" i="47"/>
  <c r="BJ270" i="47"/>
  <c r="BI270" i="47"/>
  <c r="BE270" i="47"/>
  <c r="BD270" i="47"/>
  <c r="BC270" i="47"/>
  <c r="BB270" i="47"/>
  <c r="BA270" i="47"/>
  <c r="AZ270" i="47"/>
  <c r="AY270" i="47"/>
  <c r="AS270" i="47"/>
  <c r="AR270" i="47"/>
  <c r="AQ270" i="47"/>
  <c r="AP270" i="47"/>
  <c r="AM270" i="47"/>
  <c r="AK270" i="47"/>
  <c r="AJ270" i="47"/>
  <c r="AI270" i="47"/>
  <c r="AG270" i="47"/>
  <c r="AG269" i="47" s="1"/>
  <c r="AF270" i="47"/>
  <c r="AE270" i="47"/>
  <c r="AD270" i="47"/>
  <c r="X270" i="47"/>
  <c r="W270" i="47"/>
  <c r="R270" i="47"/>
  <c r="R269" i="47" s="1"/>
  <c r="AR269" i="47"/>
  <c r="W269" i="47"/>
  <c r="BM268" i="47"/>
  <c r="BG268" i="47"/>
  <c r="BA268" i="47"/>
  <c r="AZ268" i="47"/>
  <c r="AY268" i="47"/>
  <c r="AW268" i="47"/>
  <c r="AV268" i="47"/>
  <c r="AU268" i="47"/>
  <c r="AP268" i="47"/>
  <c r="AO268" i="47"/>
  <c r="AN268" i="47"/>
  <c r="AM268" i="47"/>
  <c r="AH268" i="47"/>
  <c r="AD268" i="47"/>
  <c r="X268" i="47"/>
  <c r="W268" i="47"/>
  <c r="V268" i="47"/>
  <c r="S268" i="47"/>
  <c r="R268" i="47"/>
  <c r="Q268" i="47"/>
  <c r="P268" i="47"/>
  <c r="BK267" i="47"/>
  <c r="BL267" i="47" s="1"/>
  <c r="BJ267" i="47"/>
  <c r="BI267" i="47"/>
  <c r="BH267" i="47"/>
  <c r="BG267" i="47"/>
  <c r="BA267" i="47"/>
  <c r="AZ267" i="47"/>
  <c r="AY267" i="47"/>
  <c r="AW267" i="47"/>
  <c r="AV267" i="47"/>
  <c r="AU267" i="47"/>
  <c r="AP267" i="47"/>
  <c r="AO267" i="47"/>
  <c r="AN267" i="47"/>
  <c r="AM267" i="47"/>
  <c r="AH267" i="47"/>
  <c r="AL267" i="47" s="1"/>
  <c r="AD267" i="47"/>
  <c r="W267" i="47"/>
  <c r="V267" i="47"/>
  <c r="X267" i="47" s="1"/>
  <c r="S267" i="47"/>
  <c r="S266" i="47" s="1"/>
  <c r="R267" i="47"/>
  <c r="R266" i="47" s="1"/>
  <c r="Q267" i="47"/>
  <c r="Q266" i="47" s="1"/>
  <c r="P267" i="47"/>
  <c r="P266" i="47" s="1"/>
  <c r="BE266" i="47"/>
  <c r="BD266" i="47"/>
  <c r="BC266" i="47"/>
  <c r="BB266" i="47"/>
  <c r="AV266" i="47"/>
  <c r="AU266" i="47"/>
  <c r="AS266" i="47"/>
  <c r="AR266" i="47"/>
  <c r="AQ266" i="47"/>
  <c r="AK266" i="47"/>
  <c r="AJ266" i="47"/>
  <c r="AI266" i="47"/>
  <c r="AM266" i="47" s="1"/>
  <c r="AG266" i="47"/>
  <c r="AO266" i="47" s="1"/>
  <c r="AF266" i="47"/>
  <c r="AE266" i="47"/>
  <c r="W266" i="47"/>
  <c r="BM265" i="47"/>
  <c r="BN265" i="47" s="1"/>
  <c r="BK265" i="47"/>
  <c r="BJ265" i="47"/>
  <c r="BI265" i="47"/>
  <c r="BH265" i="47"/>
  <c r="BA265" i="47"/>
  <c r="AZ265" i="47"/>
  <c r="AY265" i="47"/>
  <c r="BG265" i="47" s="1"/>
  <c r="AX265" i="47"/>
  <c r="BF265" i="47" s="1"/>
  <c r="AW265" i="47"/>
  <c r="AV265" i="47"/>
  <c r="AU265" i="47"/>
  <c r="AT265" i="47"/>
  <c r="AO265" i="47"/>
  <c r="AN265" i="47"/>
  <c r="AM265" i="47"/>
  <c r="AL265" i="47"/>
  <c r="W265" i="47"/>
  <c r="X265" i="47" s="1"/>
  <c r="V265" i="47"/>
  <c r="S265" i="47"/>
  <c r="R265" i="47"/>
  <c r="Q265" i="47"/>
  <c r="P265" i="47"/>
  <c r="BN264" i="47"/>
  <c r="BM264" i="47"/>
  <c r="BL264" i="47"/>
  <c r="BK264" i="47"/>
  <c r="BJ264" i="47"/>
  <c r="BH264" i="47"/>
  <c r="BA264" i="47"/>
  <c r="BI264" i="47" s="1"/>
  <c r="AZ264" i="47"/>
  <c r="AY264" i="47"/>
  <c r="BG264" i="47" s="1"/>
  <c r="AX264" i="47"/>
  <c r="BF264" i="47" s="1"/>
  <c r="AW264" i="47"/>
  <c r="AV264" i="47"/>
  <c r="AU264" i="47"/>
  <c r="AT264" i="47"/>
  <c r="AO264" i="47"/>
  <c r="AN264" i="47"/>
  <c r="AM264" i="47"/>
  <c r="AL264" i="47"/>
  <c r="W264" i="47"/>
  <c r="X264" i="47" s="1"/>
  <c r="V264" i="47"/>
  <c r="S264" i="47"/>
  <c r="R264" i="47"/>
  <c r="Q264" i="47"/>
  <c r="P264" i="47"/>
  <c r="BK263" i="47"/>
  <c r="BJ263" i="47"/>
  <c r="BA263" i="47"/>
  <c r="BI263" i="47" s="1"/>
  <c r="AZ263" i="47"/>
  <c r="BH263" i="47" s="1"/>
  <c r="AW263" i="47"/>
  <c r="AV263" i="47"/>
  <c r="AT263" i="47"/>
  <c r="AQ263" i="47"/>
  <c r="AU263" i="47" s="1"/>
  <c r="AP263" i="47"/>
  <c r="AO263" i="47"/>
  <c r="AN263" i="47"/>
  <c r="AM263" i="47"/>
  <c r="AL263" i="47"/>
  <c r="AI263" i="47"/>
  <c r="AH263" i="47"/>
  <c r="AX263" i="47" s="1"/>
  <c r="BF263" i="47" s="1"/>
  <c r="AD263" i="47"/>
  <c r="W263" i="47"/>
  <c r="X263" i="47" s="1"/>
  <c r="V263" i="47"/>
  <c r="S263" i="47"/>
  <c r="S259" i="47" s="1"/>
  <c r="R263" i="47"/>
  <c r="Q263" i="47"/>
  <c r="P263" i="47"/>
  <c r="BM262" i="47"/>
  <c r="BN262" i="47" s="1"/>
  <c r="BI262" i="47"/>
  <c r="BH262" i="47"/>
  <c r="BA262" i="47"/>
  <c r="AZ262" i="47"/>
  <c r="AW262" i="47"/>
  <c r="AV262" i="47"/>
  <c r="AQ262" i="47"/>
  <c r="AU262" i="47" s="1"/>
  <c r="AP262" i="47"/>
  <c r="AO262" i="47"/>
  <c r="AN262" i="47"/>
  <c r="AL262" i="47"/>
  <c r="AI262" i="47"/>
  <c r="AH262" i="47"/>
  <c r="AD262" i="47"/>
  <c r="BJ262" i="47" s="1"/>
  <c r="W262" i="47"/>
  <c r="X262" i="47" s="1"/>
  <c r="V262" i="47"/>
  <c r="S262" i="47"/>
  <c r="R262" i="47"/>
  <c r="Q262" i="47"/>
  <c r="P262" i="47"/>
  <c r="BM261" i="47"/>
  <c r="BN261" i="47" s="1"/>
  <c r="BL261" i="47"/>
  <c r="BK261" i="47"/>
  <c r="BJ261" i="47"/>
  <c r="BF261" i="47"/>
  <c r="BA261" i="47"/>
  <c r="AZ261" i="47"/>
  <c r="BH261" i="47" s="1"/>
  <c r="AX261" i="47"/>
  <c r="AW261" i="47"/>
  <c r="AV261" i="47"/>
  <c r="AU261" i="47"/>
  <c r="AT261" i="47"/>
  <c r="AQ261" i="47"/>
  <c r="AP261" i="47"/>
  <c r="AO261" i="47"/>
  <c r="AN261" i="47"/>
  <c r="AM261" i="47"/>
  <c r="AI261" i="47"/>
  <c r="AY261" i="47" s="1"/>
  <c r="BG261" i="47" s="1"/>
  <c r="AH261" i="47"/>
  <c r="AD261" i="47"/>
  <c r="W261" i="47"/>
  <c r="V261" i="47"/>
  <c r="S261" i="47"/>
  <c r="R261" i="47"/>
  <c r="Q261" i="47"/>
  <c r="P261" i="47"/>
  <c r="BK260" i="47"/>
  <c r="BI260" i="47"/>
  <c r="BH260" i="47"/>
  <c r="BA260" i="47"/>
  <c r="AZ260" i="47"/>
  <c r="AX260" i="47"/>
  <c r="BF260" i="47" s="1"/>
  <c r="AW260" i="47"/>
  <c r="AV260" i="47"/>
  <c r="AQ260" i="47"/>
  <c r="AP260" i="47"/>
  <c r="AO260" i="47"/>
  <c r="AN260" i="47"/>
  <c r="AI260" i="47"/>
  <c r="AM260" i="47" s="1"/>
  <c r="AH260" i="47"/>
  <c r="AD260" i="47"/>
  <c r="W260" i="47"/>
  <c r="X260" i="47" s="1"/>
  <c r="V260" i="47"/>
  <c r="S260" i="47"/>
  <c r="R260" i="47"/>
  <c r="R259" i="47" s="1"/>
  <c r="Q260" i="47"/>
  <c r="P260" i="47"/>
  <c r="BE259" i="47"/>
  <c r="BD259" i="47"/>
  <c r="BC259" i="47"/>
  <c r="BB259" i="47"/>
  <c r="AS259" i="47"/>
  <c r="AW259" i="47" s="1"/>
  <c r="AR259" i="47"/>
  <c r="AK259" i="47"/>
  <c r="AJ259" i="47"/>
  <c r="AG259" i="47"/>
  <c r="AF259" i="47"/>
  <c r="AV259" i="47" s="1"/>
  <c r="AE259" i="47"/>
  <c r="W259" i="47"/>
  <c r="Q259" i="47"/>
  <c r="P259" i="47"/>
  <c r="BM258" i="47"/>
  <c r="BN258" i="47" s="1"/>
  <c r="BL258" i="47"/>
  <c r="BK258" i="47"/>
  <c r="BJ258" i="47"/>
  <c r="BG258" i="47"/>
  <c r="BA258" i="47"/>
  <c r="BI258" i="47" s="1"/>
  <c r="AZ258" i="47"/>
  <c r="BH258" i="47" s="1"/>
  <c r="AY258" i="47"/>
  <c r="AX258" i="47"/>
  <c r="BF258" i="47" s="1"/>
  <c r="AW258" i="47"/>
  <c r="AV258" i="47"/>
  <c r="AU258" i="47"/>
  <c r="AT258" i="47"/>
  <c r="AO258" i="47"/>
  <c r="AN258" i="47"/>
  <c r="AM258" i="47"/>
  <c r="AL258" i="47"/>
  <c r="X258" i="47"/>
  <c r="W258" i="47"/>
  <c r="V258" i="47"/>
  <c r="S258" i="47"/>
  <c r="R258" i="47"/>
  <c r="BI257" i="47"/>
  <c r="BF257" i="47"/>
  <c r="BA257" i="47"/>
  <c r="AZ257" i="47"/>
  <c r="BH257" i="47" s="1"/>
  <c r="AX257" i="47"/>
  <c r="AW257" i="47"/>
  <c r="AV257" i="47"/>
  <c r="AT257" i="47"/>
  <c r="AQ257" i="47"/>
  <c r="AO257" i="47"/>
  <c r="AN257" i="47"/>
  <c r="AL257" i="47"/>
  <c r="AI257" i="47"/>
  <c r="AE257" i="47"/>
  <c r="BJ257" i="47" s="1"/>
  <c r="X257" i="47"/>
  <c r="W257" i="47"/>
  <c r="V257" i="47"/>
  <c r="S257" i="47"/>
  <c r="R257" i="47"/>
  <c r="Q257" i="47"/>
  <c r="BK256" i="47"/>
  <c r="BJ256" i="47"/>
  <c r="BI256" i="47"/>
  <c r="BH256" i="47"/>
  <c r="BA256" i="47"/>
  <c r="AZ256" i="47"/>
  <c r="AX256" i="47"/>
  <c r="BF256" i="47" s="1"/>
  <c r="AW256" i="47"/>
  <c r="AV256" i="47"/>
  <c r="AT256" i="47"/>
  <c r="AQ256" i="47"/>
  <c r="AY256" i="47" s="1"/>
  <c r="BG256" i="47" s="1"/>
  <c r="AO256" i="47"/>
  <c r="AN256" i="47"/>
  <c r="AL256" i="47"/>
  <c r="AI256" i="47"/>
  <c r="AM256" i="47" s="1"/>
  <c r="AE256" i="47"/>
  <c r="W256" i="47"/>
  <c r="V256" i="47"/>
  <c r="S256" i="47"/>
  <c r="R256" i="47"/>
  <c r="Q256" i="47"/>
  <c r="P256" i="47"/>
  <c r="BN255" i="47"/>
  <c r="BM255" i="47"/>
  <c r="BK255" i="47"/>
  <c r="BJ255" i="47"/>
  <c r="BG255" i="47"/>
  <c r="BA255" i="47"/>
  <c r="BI255" i="47" s="1"/>
  <c r="AZ255" i="47"/>
  <c r="BH255" i="47" s="1"/>
  <c r="AY255" i="47"/>
  <c r="AX255" i="47"/>
  <c r="BF255" i="47" s="1"/>
  <c r="AW255" i="47"/>
  <c r="AV255" i="47"/>
  <c r="AU255" i="47"/>
  <c r="AT255" i="47"/>
  <c r="AO255" i="47"/>
  <c r="AN255" i="47"/>
  <c r="AM255" i="47"/>
  <c r="AL255" i="47"/>
  <c r="W255" i="47"/>
  <c r="X255" i="47" s="1"/>
  <c r="V255" i="47"/>
  <c r="S255" i="47"/>
  <c r="R255" i="47"/>
  <c r="BM254" i="47"/>
  <c r="BK254" i="47"/>
  <c r="BL254" i="47" s="1"/>
  <c r="BJ254" i="47"/>
  <c r="BG254" i="47"/>
  <c r="BF254" i="47"/>
  <c r="BA254" i="47"/>
  <c r="BI254" i="47" s="1"/>
  <c r="AZ254" i="47"/>
  <c r="BH254" i="47" s="1"/>
  <c r="AY254" i="47"/>
  <c r="AX254" i="47"/>
  <c r="AW254" i="47"/>
  <c r="AV254" i="47"/>
  <c r="AU254" i="47"/>
  <c r="AT254" i="47"/>
  <c r="AO254" i="47"/>
  <c r="AN254" i="47"/>
  <c r="AM254" i="47"/>
  <c r="AL254" i="47"/>
  <c r="X254" i="47"/>
  <c r="W254" i="47"/>
  <c r="V254" i="47"/>
  <c r="S254" i="47"/>
  <c r="R254" i="47"/>
  <c r="Q254" i="47"/>
  <c r="BM253" i="47"/>
  <c r="BI253" i="47"/>
  <c r="BH253" i="47"/>
  <c r="BA253" i="47"/>
  <c r="AZ253" i="47"/>
  <c r="AW253" i="47"/>
  <c r="AV253" i="47"/>
  <c r="AQ253" i="47"/>
  <c r="AP253" i="47"/>
  <c r="AT253" i="47" s="1"/>
  <c r="AO253" i="47"/>
  <c r="AN253" i="47"/>
  <c r="AI253" i="47"/>
  <c r="AH253" i="47"/>
  <c r="AE253" i="47"/>
  <c r="AD253" i="47"/>
  <c r="W253" i="47"/>
  <c r="X253" i="47" s="1"/>
  <c r="V253" i="47"/>
  <c r="S253" i="47"/>
  <c r="R253" i="47"/>
  <c r="Q253" i="47"/>
  <c r="P253" i="47"/>
  <c r="BL252" i="47"/>
  <c r="BK252" i="47"/>
  <c r="BJ252" i="47"/>
  <c r="BH252" i="47"/>
  <c r="BA252" i="47"/>
  <c r="BI252" i="47" s="1"/>
  <c r="AZ252" i="47"/>
  <c r="AW252" i="47"/>
  <c r="AV252" i="47"/>
  <c r="AT252" i="47"/>
  <c r="AQ252" i="47"/>
  <c r="AP252" i="47"/>
  <c r="AO252" i="47"/>
  <c r="AN252" i="47"/>
  <c r="AM252" i="47"/>
  <c r="AI252" i="47"/>
  <c r="AH252" i="47"/>
  <c r="AL252" i="47" s="1"/>
  <c r="AE252" i="47"/>
  <c r="AD252" i="47"/>
  <c r="W252" i="47"/>
  <c r="V252" i="47"/>
  <c r="S252" i="47"/>
  <c r="R252" i="47"/>
  <c r="Q252" i="47"/>
  <c r="P252" i="47"/>
  <c r="BK251" i="47"/>
  <c r="BL251" i="47" s="1"/>
  <c r="BJ251" i="47"/>
  <c r="BA251" i="47"/>
  <c r="BI251" i="47" s="1"/>
  <c r="AZ251" i="47"/>
  <c r="BH251" i="47" s="1"/>
  <c r="AY251" i="47"/>
  <c r="BG251" i="47" s="1"/>
  <c r="AW251" i="47"/>
  <c r="AV251" i="47"/>
  <c r="AQ251" i="47"/>
  <c r="AP251" i="47"/>
  <c r="AO251" i="47"/>
  <c r="AN251" i="47"/>
  <c r="AL251" i="47"/>
  <c r="AI251" i="47"/>
  <c r="AM251" i="47" s="1"/>
  <c r="AH251" i="47"/>
  <c r="AE251" i="47"/>
  <c r="AD251" i="47"/>
  <c r="W251" i="47"/>
  <c r="X251" i="47" s="1"/>
  <c r="V251" i="47"/>
  <c r="S251" i="47"/>
  <c r="R251" i="47"/>
  <c r="Q251" i="47"/>
  <c r="P251" i="47"/>
  <c r="BM250" i="47"/>
  <c r="BI250" i="47"/>
  <c r="BA250" i="47"/>
  <c r="BA249" i="47" s="1"/>
  <c r="AZ250" i="47"/>
  <c r="AW250" i="47"/>
  <c r="AV250" i="47"/>
  <c r="AQ250" i="47"/>
  <c r="AP250" i="47"/>
  <c r="AT250" i="47" s="1"/>
  <c r="AO250" i="47"/>
  <c r="AN250" i="47"/>
  <c r="AI250" i="47"/>
  <c r="AH250" i="47"/>
  <c r="AE250" i="47"/>
  <c r="AD250" i="47"/>
  <c r="W250" i="47"/>
  <c r="V250" i="47"/>
  <c r="S250" i="47"/>
  <c r="R250" i="47"/>
  <c r="Q250" i="47"/>
  <c r="P250" i="47"/>
  <c r="BE249" i="47"/>
  <c r="BD249" i="47"/>
  <c r="BC249" i="47"/>
  <c r="BB249" i="47"/>
  <c r="BB248" i="47" s="1"/>
  <c r="AS249" i="47"/>
  <c r="AR249" i="47"/>
  <c r="AO249" i="47"/>
  <c r="AN249" i="47"/>
  <c r="AK249" i="47"/>
  <c r="AJ249" i="47"/>
  <c r="AG249" i="47"/>
  <c r="AF249" i="47"/>
  <c r="AD249" i="47"/>
  <c r="W249" i="47"/>
  <c r="AJ248" i="47"/>
  <c r="W248" i="47"/>
  <c r="BM247" i="47"/>
  <c r="BA247" i="47"/>
  <c r="BI247" i="47" s="1"/>
  <c r="AZ247" i="47"/>
  <c r="AY247" i="47"/>
  <c r="BG247" i="47" s="1"/>
  <c r="AX247" i="47"/>
  <c r="AW247" i="47"/>
  <c r="AV247" i="47"/>
  <c r="AU247" i="47"/>
  <c r="AP247" i="47"/>
  <c r="AO247" i="47"/>
  <c r="AN247" i="47"/>
  <c r="AM247" i="47"/>
  <c r="AH247" i="47"/>
  <c r="AD247" i="47"/>
  <c r="BJ247" i="47" s="1"/>
  <c r="W247" i="47"/>
  <c r="X247" i="47" s="1"/>
  <c r="X246" i="47" s="1"/>
  <c r="X240" i="47" s="1"/>
  <c r="V247" i="47"/>
  <c r="S247" i="47"/>
  <c r="R247" i="47"/>
  <c r="Q247" i="47"/>
  <c r="P247" i="47"/>
  <c r="BJ246" i="47"/>
  <c r="BI246" i="47"/>
  <c r="BE246" i="47"/>
  <c r="BD246" i="47"/>
  <c r="BC246" i="47"/>
  <c r="BB246" i="47"/>
  <c r="BA246" i="47"/>
  <c r="AW246" i="47"/>
  <c r="AS246" i="47"/>
  <c r="AR246" i="47"/>
  <c r="AQ246" i="47"/>
  <c r="AU246" i="47" s="1"/>
  <c r="AP246" i="47"/>
  <c r="AO246" i="47"/>
  <c r="AN246" i="47"/>
  <c r="AK246" i="47"/>
  <c r="AJ246" i="47"/>
  <c r="AI246" i="47"/>
  <c r="AG246" i="47"/>
  <c r="AF246" i="47"/>
  <c r="AE246" i="47"/>
  <c r="AM246" i="47" s="1"/>
  <c r="AD246" i="47"/>
  <c r="W246" i="47"/>
  <c r="S246" i="47"/>
  <c r="R246" i="47"/>
  <c r="Q246" i="47"/>
  <c r="P246" i="47"/>
  <c r="BA245" i="47"/>
  <c r="AZ245" i="47"/>
  <c r="BH245" i="47" s="1"/>
  <c r="AY245" i="47"/>
  <c r="AW245" i="47"/>
  <c r="AV245" i="47"/>
  <c r="AU245" i="47"/>
  <c r="AP245" i="47"/>
  <c r="AO245" i="47"/>
  <c r="AN245" i="47"/>
  <c r="AM245" i="47"/>
  <c r="AH245" i="47"/>
  <c r="AD245" i="47"/>
  <c r="AD244" i="47" s="1"/>
  <c r="W245" i="47"/>
  <c r="V245" i="47"/>
  <c r="X245" i="47" s="1"/>
  <c r="X244" i="47" s="1"/>
  <c r="S245" i="47"/>
  <c r="R245" i="47"/>
  <c r="R244" i="47" s="1"/>
  <c r="Q245" i="47"/>
  <c r="Q244" i="47" s="1"/>
  <c r="P245" i="47"/>
  <c r="P244" i="47" s="1"/>
  <c r="BE244" i="47"/>
  <c r="BD244" i="47"/>
  <c r="BC244" i="47"/>
  <c r="BB244" i="47"/>
  <c r="BB240" i="47" s="1"/>
  <c r="AZ244" i="47"/>
  <c r="AS244" i="47"/>
  <c r="AR244" i="47"/>
  <c r="AV244" i="47" s="1"/>
  <c r="AQ244" i="47"/>
  <c r="AU244" i="47" s="1"/>
  <c r="AP244" i="47"/>
  <c r="BM244" i="47" s="1"/>
  <c r="AO244" i="47"/>
  <c r="AN244" i="47"/>
  <c r="AM244" i="47"/>
  <c r="AK244" i="47"/>
  <c r="AJ244" i="47"/>
  <c r="AI244" i="47"/>
  <c r="AH244" i="47"/>
  <c r="AG244" i="47"/>
  <c r="AF244" i="47"/>
  <c r="AE244" i="47"/>
  <c r="W244" i="47"/>
  <c r="S244" i="47"/>
  <c r="BM243" i="47"/>
  <c r="BN243" i="47" s="1"/>
  <c r="BK243" i="47"/>
  <c r="BL243" i="47" s="1"/>
  <c r="BI243" i="47"/>
  <c r="BH243" i="47"/>
  <c r="BG243" i="47"/>
  <c r="BA243" i="47"/>
  <c r="AZ243" i="47"/>
  <c r="AY243" i="47"/>
  <c r="AW243" i="47"/>
  <c r="AV243" i="47"/>
  <c r="AU243" i="47"/>
  <c r="AT243" i="47"/>
  <c r="AP243" i="47"/>
  <c r="AO243" i="47"/>
  <c r="AN243" i="47"/>
  <c r="AM243" i="47"/>
  <c r="AH243" i="47"/>
  <c r="AX243" i="47" s="1"/>
  <c r="BF243" i="47" s="1"/>
  <c r="AD243" i="47"/>
  <c r="BJ243" i="47" s="1"/>
  <c r="W243" i="47"/>
  <c r="X243" i="47" s="1"/>
  <c r="V243" i="47"/>
  <c r="S243" i="47"/>
  <c r="R243" i="47"/>
  <c r="Q243" i="47"/>
  <c r="Q241" i="47" s="1"/>
  <c r="P243" i="47"/>
  <c r="BM242" i="47"/>
  <c r="BN242" i="47" s="1"/>
  <c r="BG242" i="47"/>
  <c r="BA242" i="47"/>
  <c r="AZ242" i="47"/>
  <c r="AY242" i="47"/>
  <c r="AY241" i="47" s="1"/>
  <c r="AW242" i="47"/>
  <c r="AV242" i="47"/>
  <c r="AU242" i="47"/>
  <c r="AT242" i="47"/>
  <c r="AP242" i="47"/>
  <c r="AO242" i="47"/>
  <c r="AN242" i="47"/>
  <c r="AM242" i="47"/>
  <c r="AL242" i="47"/>
  <c r="AH242" i="47"/>
  <c r="AD242" i="47"/>
  <c r="BJ242" i="47" s="1"/>
  <c r="W242" i="47"/>
  <c r="V242" i="47"/>
  <c r="X242" i="47" s="1"/>
  <c r="X241" i="47" s="1"/>
  <c r="S242" i="47"/>
  <c r="R242" i="47"/>
  <c r="R241" i="47" s="1"/>
  <c r="R240" i="47" s="1"/>
  <c r="Q242" i="47"/>
  <c r="P242" i="47"/>
  <c r="BJ241" i="47"/>
  <c r="BE241" i="47"/>
  <c r="BD241" i="47"/>
  <c r="BC241" i="47"/>
  <c r="BG241" i="47" s="1"/>
  <c r="BB241" i="47"/>
  <c r="AW241" i="47"/>
  <c r="AV241" i="47"/>
  <c r="AS241" i="47"/>
  <c r="AS240" i="47" s="1"/>
  <c r="AR241" i="47"/>
  <c r="AQ241" i="47"/>
  <c r="AU241" i="47" s="1"/>
  <c r="AP241" i="47"/>
  <c r="AK241" i="47"/>
  <c r="AO241" i="47" s="1"/>
  <c r="AJ241" i="47"/>
  <c r="AI241" i="47"/>
  <c r="AG241" i="47"/>
  <c r="AF241" i="47"/>
  <c r="AE241" i="47"/>
  <c r="AE240" i="47" s="1"/>
  <c r="AD241" i="47"/>
  <c r="AD240" i="47" s="1"/>
  <c r="W241" i="47"/>
  <c r="S241" i="47"/>
  <c r="S240" i="47" s="1"/>
  <c r="P241" i="47"/>
  <c r="AQ240" i="47"/>
  <c r="AU240" i="47" s="1"/>
  <c r="AI240" i="47"/>
  <c r="AM240" i="47" s="1"/>
  <c r="AF240" i="47"/>
  <c r="W240" i="47"/>
  <c r="P240" i="47"/>
  <c r="BM239" i="47"/>
  <c r="BK239" i="47"/>
  <c r="BJ239" i="47"/>
  <c r="BL239" i="47" s="1"/>
  <c r="BI239" i="47"/>
  <c r="BH239" i="47"/>
  <c r="BG239" i="47"/>
  <c r="BA239" i="47"/>
  <c r="AZ239" i="47"/>
  <c r="AY239" i="47"/>
  <c r="AX239" i="47"/>
  <c r="BF239" i="47" s="1"/>
  <c r="AW239" i="47"/>
  <c r="AV239" i="47"/>
  <c r="AU239" i="47"/>
  <c r="AT239" i="47"/>
  <c r="AO239" i="47"/>
  <c r="AN239" i="47"/>
  <c r="AM239" i="47"/>
  <c r="AL239" i="47"/>
  <c r="W239" i="47"/>
  <c r="X239" i="47" s="1"/>
  <c r="V239" i="47"/>
  <c r="S239" i="47"/>
  <c r="R239" i="47"/>
  <c r="Q239" i="47"/>
  <c r="P239" i="47"/>
  <c r="BK238" i="47"/>
  <c r="BI238" i="47"/>
  <c r="BH238" i="47"/>
  <c r="BG238" i="47"/>
  <c r="BA238" i="47"/>
  <c r="AZ238" i="47"/>
  <c r="AY238" i="47"/>
  <c r="AW238" i="47"/>
  <c r="AV238" i="47"/>
  <c r="AU238" i="47"/>
  <c r="AP238" i="47"/>
  <c r="AO238" i="47"/>
  <c r="AN238" i="47"/>
  <c r="AM238" i="47"/>
  <c r="AL238" i="47"/>
  <c r="AH238" i="47"/>
  <c r="AD238" i="47"/>
  <c r="X238" i="47"/>
  <c r="W238" i="47"/>
  <c r="V238" i="47"/>
  <c r="S238" i="47"/>
  <c r="R238" i="47"/>
  <c r="Q238" i="47"/>
  <c r="P238" i="47"/>
  <c r="BM237" i="47"/>
  <c r="BN237" i="47" s="1"/>
  <c r="BL237" i="47"/>
  <c r="BK237" i="47"/>
  <c r="BJ237" i="47"/>
  <c r="BI237" i="47"/>
  <c r="BA237" i="47"/>
  <c r="AZ237" i="47"/>
  <c r="BH237" i="47" s="1"/>
  <c r="AY237" i="47"/>
  <c r="AX237" i="47"/>
  <c r="BF237" i="47" s="1"/>
  <c r="AW237" i="47"/>
  <c r="AV237" i="47"/>
  <c r="AU237" i="47"/>
  <c r="AT237" i="47"/>
  <c r="AO237" i="47"/>
  <c r="AN237" i="47"/>
  <c r="AM237" i="47"/>
  <c r="AL237" i="47"/>
  <c r="W237" i="47"/>
  <c r="V237" i="47"/>
  <c r="S237" i="47"/>
  <c r="S236" i="47" s="1"/>
  <c r="S235" i="47" s="1"/>
  <c r="R237" i="47"/>
  <c r="Q237" i="47"/>
  <c r="Q236" i="47" s="1"/>
  <c r="Q235" i="47" s="1"/>
  <c r="P237" i="47"/>
  <c r="BE236" i="47"/>
  <c r="BD236" i="47"/>
  <c r="BC236" i="47"/>
  <c r="BB236" i="47"/>
  <c r="BA236" i="47"/>
  <c r="BA235" i="47" s="1"/>
  <c r="AZ236" i="47"/>
  <c r="AZ235" i="47" s="1"/>
  <c r="AU236" i="47"/>
  <c r="AS236" i="47"/>
  <c r="AR236" i="47"/>
  <c r="AQ236" i="47"/>
  <c r="AO236" i="47"/>
  <c r="AN236" i="47"/>
  <c r="AM236" i="47"/>
  <c r="AK236" i="47"/>
  <c r="AJ236" i="47"/>
  <c r="AI236" i="47"/>
  <c r="AI235" i="47" s="1"/>
  <c r="AH236" i="47"/>
  <c r="AG236" i="47"/>
  <c r="AG235" i="47" s="1"/>
  <c r="AF236" i="47"/>
  <c r="AF235" i="47" s="1"/>
  <c r="AE236" i="47"/>
  <c r="W236" i="47"/>
  <c r="R236" i="47"/>
  <c r="R235" i="47" s="1"/>
  <c r="P236" i="47"/>
  <c r="P235" i="47" s="1"/>
  <c r="BK235" i="47"/>
  <c r="BE235" i="47"/>
  <c r="BC235" i="47"/>
  <c r="AW235" i="47"/>
  <c r="AS235" i="47"/>
  <c r="AQ235" i="47"/>
  <c r="AO235" i="47"/>
  <c r="AM235" i="47"/>
  <c r="AK235" i="47"/>
  <c r="AJ235" i="47"/>
  <c r="AN235" i="47" s="1"/>
  <c r="AH235" i="47"/>
  <c r="AE235" i="47"/>
  <c r="W235" i="47"/>
  <c r="BM234" i="47"/>
  <c r="BI234" i="47"/>
  <c r="BA234" i="47"/>
  <c r="AZ234" i="47"/>
  <c r="AY234" i="47"/>
  <c r="AX234" i="47"/>
  <c r="AW234" i="47"/>
  <c r="AV234" i="47"/>
  <c r="AU234" i="47"/>
  <c r="AP234" i="47"/>
  <c r="AO234" i="47"/>
  <c r="AN234" i="47"/>
  <c r="AM234" i="47"/>
  <c r="AH234" i="47"/>
  <c r="AD234" i="47"/>
  <c r="X234" i="47"/>
  <c r="X233" i="47" s="1"/>
  <c r="W234" i="47"/>
  <c r="V234" i="47"/>
  <c r="S234" i="47"/>
  <c r="R234" i="47"/>
  <c r="Q234" i="47"/>
  <c r="Q233" i="47" s="1"/>
  <c r="P234" i="47"/>
  <c r="BE233" i="47"/>
  <c r="BD233" i="47"/>
  <c r="BC233" i="47"/>
  <c r="BC232" i="47" s="1"/>
  <c r="BB233" i="47"/>
  <c r="BA233" i="47"/>
  <c r="AS233" i="47"/>
  <c r="AW233" i="47" s="1"/>
  <c r="AR233" i="47"/>
  <c r="AQ233" i="47"/>
  <c r="AP233" i="47"/>
  <c r="AK233" i="47"/>
  <c r="AJ233" i="47"/>
  <c r="AI233" i="47"/>
  <c r="AG233" i="47"/>
  <c r="AF233" i="47"/>
  <c r="AF232" i="47" s="1"/>
  <c r="AE233" i="47"/>
  <c r="AU233" i="47" s="1"/>
  <c r="W233" i="47"/>
  <c r="S233" i="47"/>
  <c r="R233" i="47"/>
  <c r="R232" i="47" s="1"/>
  <c r="P233" i="47"/>
  <c r="BA232" i="47"/>
  <c r="AS232" i="47"/>
  <c r="AW232" i="47" s="1"/>
  <c r="AQ232" i="47"/>
  <c r="AU232" i="47" s="1"/>
  <c r="AP232" i="47"/>
  <c r="AM232" i="47"/>
  <c r="AI232" i="47"/>
  <c r="AG232" i="47"/>
  <c r="AE232" i="47"/>
  <c r="X232" i="47"/>
  <c r="W232" i="47"/>
  <c r="S232" i="47"/>
  <c r="Q232" i="47"/>
  <c r="P232" i="47"/>
  <c r="BA231" i="47"/>
  <c r="BI231" i="47" s="1"/>
  <c r="AZ231" i="47"/>
  <c r="BH231" i="47" s="1"/>
  <c r="AY231" i="47"/>
  <c r="BG231" i="47" s="1"/>
  <c r="AW231" i="47"/>
  <c r="AV231" i="47"/>
  <c r="AQ231" i="47"/>
  <c r="AU231" i="47" s="1"/>
  <c r="AP231" i="47"/>
  <c r="AO231" i="47"/>
  <c r="AN231" i="47"/>
  <c r="AI231" i="47"/>
  <c r="AM231" i="47" s="1"/>
  <c r="AH231" i="47"/>
  <c r="AD231" i="47"/>
  <c r="BJ231" i="47" s="1"/>
  <c r="X231" i="47"/>
  <c r="W231" i="47"/>
  <c r="V231" i="47"/>
  <c r="S231" i="47"/>
  <c r="R231" i="47"/>
  <c r="Q231" i="47"/>
  <c r="P231" i="47"/>
  <c r="BK230" i="47"/>
  <c r="BL230" i="47" s="1"/>
  <c r="BJ230" i="47"/>
  <c r="BI230" i="47"/>
  <c r="BF230" i="47"/>
  <c r="BA230" i="47"/>
  <c r="AZ230" i="47"/>
  <c r="BH230" i="47" s="1"/>
  <c r="AX230" i="47"/>
  <c r="AW230" i="47"/>
  <c r="AV230" i="47"/>
  <c r="AT230" i="47"/>
  <c r="AQ230" i="47"/>
  <c r="AO230" i="47"/>
  <c r="AN230" i="47"/>
  <c r="AM230" i="47"/>
  <c r="AL230" i="47"/>
  <c r="AI230" i="47"/>
  <c r="W230" i="47"/>
  <c r="X230" i="47" s="1"/>
  <c r="V230" i="47"/>
  <c r="S230" i="47"/>
  <c r="R230" i="47"/>
  <c r="Q230" i="47"/>
  <c r="BN229" i="47"/>
  <c r="BK229" i="47"/>
  <c r="BL229" i="47" s="1"/>
  <c r="BJ229" i="47"/>
  <c r="BI229" i="47"/>
  <c r="BF229" i="47"/>
  <c r="BA229" i="47"/>
  <c r="AZ229" i="47"/>
  <c r="BH229" i="47" s="1"/>
  <c r="AX229" i="47"/>
  <c r="AW229" i="47"/>
  <c r="AV229" i="47"/>
  <c r="AU229" i="47"/>
  <c r="AT229" i="47"/>
  <c r="AQ229" i="47"/>
  <c r="AP229" i="47"/>
  <c r="BM229" i="47" s="1"/>
  <c r="AO229" i="47"/>
  <c r="AN229" i="47"/>
  <c r="AL229" i="47"/>
  <c r="AI229" i="47"/>
  <c r="AH229" i="47"/>
  <c r="AD229" i="47"/>
  <c r="W229" i="47"/>
  <c r="V229" i="47"/>
  <c r="S229" i="47"/>
  <c r="R229" i="47"/>
  <c r="Q229" i="47"/>
  <c r="P229" i="47"/>
  <c r="BM228" i="47"/>
  <c r="BN228" i="47" s="1"/>
  <c r="BL228" i="47"/>
  <c r="BK228" i="47"/>
  <c r="BJ228" i="47"/>
  <c r="BH228" i="47"/>
  <c r="BG228" i="47"/>
  <c r="BF228" i="47"/>
  <c r="BA228" i="47"/>
  <c r="BI228" i="47" s="1"/>
  <c r="AZ228" i="47"/>
  <c r="AY228" i="47"/>
  <c r="AX228" i="47"/>
  <c r="AW228" i="47"/>
  <c r="AV228" i="47"/>
  <c r="AU228" i="47"/>
  <c r="AT228" i="47"/>
  <c r="AO228" i="47"/>
  <c r="AN228" i="47"/>
  <c r="AM228" i="47"/>
  <c r="AL228" i="47"/>
  <c r="X228" i="47"/>
  <c r="W228" i="47"/>
  <c r="V228" i="47"/>
  <c r="S228" i="47"/>
  <c r="R228" i="47"/>
  <c r="BM227" i="47"/>
  <c r="BI227" i="47"/>
  <c r="BH227" i="47"/>
  <c r="BA227" i="47"/>
  <c r="AZ227" i="47"/>
  <c r="AX227" i="47"/>
  <c r="BF227" i="47" s="1"/>
  <c r="AW227" i="47"/>
  <c r="AV227" i="47"/>
  <c r="AU227" i="47"/>
  <c r="AQ227" i="47"/>
  <c r="AP227" i="47"/>
  <c r="AT227" i="47" s="1"/>
  <c r="AO227" i="47"/>
  <c r="AN227" i="47"/>
  <c r="AM227" i="47"/>
  <c r="AI227" i="47"/>
  <c r="AH227" i="47"/>
  <c r="AD227" i="47"/>
  <c r="W227" i="47"/>
  <c r="V227" i="47"/>
  <c r="S227" i="47"/>
  <c r="R227" i="47"/>
  <c r="Q227" i="47"/>
  <c r="P227" i="47"/>
  <c r="BM226" i="47"/>
  <c r="BK226" i="47"/>
  <c r="BJ226" i="47"/>
  <c r="BL226" i="47" s="1"/>
  <c r="BG226" i="47"/>
  <c r="BF226" i="47"/>
  <c r="BA226" i="47"/>
  <c r="BI226" i="47" s="1"/>
  <c r="AZ226" i="47"/>
  <c r="BH226" i="47" s="1"/>
  <c r="AY226" i="47"/>
  <c r="AX226" i="47"/>
  <c r="AW226" i="47"/>
  <c r="AV226" i="47"/>
  <c r="AU226" i="47"/>
  <c r="AT226" i="47"/>
  <c r="AO226" i="47"/>
  <c r="AN226" i="47"/>
  <c r="AM226" i="47"/>
  <c r="AL226" i="47"/>
  <c r="W226" i="47"/>
  <c r="X226" i="47" s="1"/>
  <c r="V226" i="47"/>
  <c r="S226" i="47"/>
  <c r="R226" i="47"/>
  <c r="Q226" i="47"/>
  <c r="P226" i="47"/>
  <c r="BK225" i="47"/>
  <c r="BJ225" i="47"/>
  <c r="BH225" i="47"/>
  <c r="BG225" i="47"/>
  <c r="BA225" i="47"/>
  <c r="BI225" i="47" s="1"/>
  <c r="AZ225" i="47"/>
  <c r="AW225" i="47"/>
  <c r="AV225" i="47"/>
  <c r="AQ225" i="47"/>
  <c r="AU225" i="47" s="1"/>
  <c r="AP225" i="47"/>
  <c r="AO225" i="47"/>
  <c r="AN225" i="47"/>
  <c r="AM225" i="47"/>
  <c r="AI225" i="47"/>
  <c r="AY225" i="47" s="1"/>
  <c r="AH225" i="47"/>
  <c r="AL225" i="47" s="1"/>
  <c r="AD225" i="47"/>
  <c r="W225" i="47"/>
  <c r="X225" i="47" s="1"/>
  <c r="V225" i="47"/>
  <c r="S225" i="47"/>
  <c r="R225" i="47"/>
  <c r="Q225" i="47"/>
  <c r="P225" i="47"/>
  <c r="P223" i="47" s="1"/>
  <c r="P222" i="47" s="1"/>
  <c r="BM224" i="47"/>
  <c r="BN224" i="47" s="1"/>
  <c r="BJ224" i="47"/>
  <c r="BH224" i="47"/>
  <c r="BF224" i="47"/>
  <c r="BA224" i="47"/>
  <c r="AZ224" i="47"/>
  <c r="AX224" i="47"/>
  <c r="AW224" i="47"/>
  <c r="AV224" i="47"/>
  <c r="AU224" i="47"/>
  <c r="AT224" i="47"/>
  <c r="AQ224" i="47"/>
  <c r="AO224" i="47"/>
  <c r="AN224" i="47"/>
  <c r="AL224" i="47"/>
  <c r="AI224" i="47"/>
  <c r="W224" i="47"/>
  <c r="X224" i="47" s="1"/>
  <c r="V224" i="47"/>
  <c r="S224" i="47"/>
  <c r="S223" i="47" s="1"/>
  <c r="R224" i="47"/>
  <c r="Q224" i="47"/>
  <c r="BE223" i="47"/>
  <c r="BE222" i="47" s="1"/>
  <c r="BD223" i="47"/>
  <c r="BC223" i="47"/>
  <c r="BB223" i="47"/>
  <c r="AS223" i="47"/>
  <c r="AS222" i="47" s="1"/>
  <c r="AR223" i="47"/>
  <c r="AR222" i="47" s="1"/>
  <c r="AK223" i="47"/>
  <c r="AJ223" i="47"/>
  <c r="AH223" i="47"/>
  <c r="AG223" i="47"/>
  <c r="AF223" i="47"/>
  <c r="AE223" i="47"/>
  <c r="AE222" i="47" s="1"/>
  <c r="W223" i="47"/>
  <c r="R223" i="47"/>
  <c r="R222" i="47" s="1"/>
  <c r="BD222" i="47"/>
  <c r="BC222" i="47"/>
  <c r="BB222" i="47"/>
  <c r="W222" i="47"/>
  <c r="S222" i="47"/>
  <c r="BN221" i="47"/>
  <c r="BM221" i="47"/>
  <c r="BK221" i="47"/>
  <c r="BL221" i="47" s="1"/>
  <c r="BJ221" i="47"/>
  <c r="BH221" i="47"/>
  <c r="BG221" i="47"/>
  <c r="BF221" i="47"/>
  <c r="BA221" i="47"/>
  <c r="BI221" i="47" s="1"/>
  <c r="AZ221" i="47"/>
  <c r="AY221" i="47"/>
  <c r="AX221" i="47"/>
  <c r="AW221" i="47"/>
  <c r="AV221" i="47"/>
  <c r="AU221" i="47"/>
  <c r="AT221" i="47"/>
  <c r="AO221" i="47"/>
  <c r="AN221" i="47"/>
  <c r="AM221" i="47"/>
  <c r="AL221" i="47"/>
  <c r="X221" i="47"/>
  <c r="W221" i="47"/>
  <c r="V221" i="47"/>
  <c r="S221" i="47"/>
  <c r="R221" i="47"/>
  <c r="Q221" i="47"/>
  <c r="BA220" i="47"/>
  <c r="BA217" i="47" s="1"/>
  <c r="AZ220" i="47"/>
  <c r="BH220" i="47" s="1"/>
  <c r="AY220" i="47"/>
  <c r="AW220" i="47"/>
  <c r="AV220" i="47"/>
  <c r="AU220" i="47"/>
  <c r="AP220" i="47"/>
  <c r="AO220" i="47"/>
  <c r="AN220" i="47"/>
  <c r="AM220" i="47"/>
  <c r="AH220" i="47"/>
  <c r="AD220" i="47"/>
  <c r="BJ220" i="47" s="1"/>
  <c r="X220" i="47"/>
  <c r="W220" i="47"/>
  <c r="V220" i="47"/>
  <c r="S220" i="47"/>
  <c r="R220" i="47"/>
  <c r="Q220" i="47"/>
  <c r="P220" i="47"/>
  <c r="BM219" i="47"/>
  <c r="BK219" i="47"/>
  <c r="BL219" i="47" s="1"/>
  <c r="BJ219" i="47"/>
  <c r="BI219" i="47"/>
  <c r="BH219" i="47"/>
  <c r="BG219" i="47"/>
  <c r="BF219" i="47"/>
  <c r="BA219" i="47"/>
  <c r="AZ219" i="47"/>
  <c r="AY219" i="47"/>
  <c r="AX219" i="47"/>
  <c r="AW219" i="47"/>
  <c r="AV219" i="47"/>
  <c r="AU219" i="47"/>
  <c r="AT219" i="47"/>
  <c r="AO219" i="47"/>
  <c r="AN219" i="47"/>
  <c r="AM219" i="47"/>
  <c r="AL219" i="47"/>
  <c r="W219" i="47"/>
  <c r="V219" i="47"/>
  <c r="S219" i="47"/>
  <c r="R219" i="47"/>
  <c r="Q219" i="47"/>
  <c r="P219" i="47"/>
  <c r="BM218" i="47"/>
  <c r="BN218" i="47" s="1"/>
  <c r="BK218" i="47"/>
  <c r="BL218" i="47" s="1"/>
  <c r="BJ218" i="47"/>
  <c r="BA218" i="47"/>
  <c r="BI218" i="47" s="1"/>
  <c r="AZ218" i="47"/>
  <c r="AY218" i="47"/>
  <c r="BG218" i="47" s="1"/>
  <c r="AX218" i="47"/>
  <c r="AW218" i="47"/>
  <c r="AV218" i="47"/>
  <c r="AU218" i="47"/>
  <c r="AT218" i="47"/>
  <c r="AO218" i="47"/>
  <c r="AN218" i="47"/>
  <c r="AM218" i="47"/>
  <c r="AL218" i="47"/>
  <c r="W218" i="47"/>
  <c r="X218" i="47" s="1"/>
  <c r="V218" i="47"/>
  <c r="S218" i="47"/>
  <c r="R218" i="47"/>
  <c r="Q218" i="47"/>
  <c r="P218" i="47"/>
  <c r="BE217" i="47"/>
  <c r="BI217" i="47" s="1"/>
  <c r="BD217" i="47"/>
  <c r="BC217" i="47"/>
  <c r="BB217" i="47"/>
  <c r="AW217" i="47"/>
  <c r="AS217" i="47"/>
  <c r="AR217" i="47"/>
  <c r="AV217" i="47" s="1"/>
  <c r="AQ217" i="47"/>
  <c r="AU217" i="47" s="1"/>
  <c r="AP217" i="47"/>
  <c r="AN217" i="47"/>
  <c r="AK217" i="47"/>
  <c r="AO217" i="47" s="1"/>
  <c r="AJ217" i="47"/>
  <c r="AI217" i="47"/>
  <c r="AM217" i="47" s="1"/>
  <c r="AG217" i="47"/>
  <c r="AF217" i="47"/>
  <c r="AE217" i="47"/>
  <c r="W217" i="47"/>
  <c r="S217" i="47"/>
  <c r="P217" i="47"/>
  <c r="BN216" i="47"/>
  <c r="BM216" i="47"/>
  <c r="BJ216" i="47"/>
  <c r="BI216" i="47"/>
  <c r="BH216" i="47"/>
  <c r="BA216" i="47"/>
  <c r="AZ216" i="47"/>
  <c r="AY216" i="47"/>
  <c r="BG216" i="47" s="1"/>
  <c r="AX216" i="47"/>
  <c r="BF216" i="47" s="1"/>
  <c r="AW216" i="47"/>
  <c r="AV216" i="47"/>
  <c r="AU216" i="47"/>
  <c r="AT216" i="47"/>
  <c r="AP216" i="47"/>
  <c r="AO216" i="47"/>
  <c r="AN216" i="47"/>
  <c r="AM216" i="47"/>
  <c r="AH216" i="47"/>
  <c r="AD216" i="47"/>
  <c r="W216" i="47"/>
  <c r="X216" i="47" s="1"/>
  <c r="V216" i="47"/>
  <c r="S216" i="47"/>
  <c r="R216" i="47"/>
  <c r="Q216" i="47"/>
  <c r="P216" i="47"/>
  <c r="BK215" i="47"/>
  <c r="BJ215" i="47"/>
  <c r="BH215" i="47"/>
  <c r="BG215" i="47"/>
  <c r="BA215" i="47"/>
  <c r="BI215" i="47" s="1"/>
  <c r="AZ215" i="47"/>
  <c r="AZ213" i="47" s="1"/>
  <c r="AY215" i="47"/>
  <c r="AW215" i="47"/>
  <c r="AV215" i="47"/>
  <c r="AU215" i="47"/>
  <c r="AQ215" i="47"/>
  <c r="AP215" i="47"/>
  <c r="AO215" i="47"/>
  <c r="AN215" i="47"/>
  <c r="AM215" i="47"/>
  <c r="AL215" i="47"/>
  <c r="AI215" i="47"/>
  <c r="AH215" i="47"/>
  <c r="AD215" i="47"/>
  <c r="W215" i="47"/>
  <c r="V215" i="47"/>
  <c r="S215" i="47"/>
  <c r="S213" i="47" s="1"/>
  <c r="R215" i="47"/>
  <c r="Q215" i="47"/>
  <c r="Q213" i="47" s="1"/>
  <c r="P215" i="47"/>
  <c r="P213" i="47" s="1"/>
  <c r="BM214" i="47"/>
  <c r="BN214" i="47" s="1"/>
  <c r="BH214" i="47"/>
  <c r="BA214" i="47"/>
  <c r="AZ214" i="47"/>
  <c r="AX214" i="47"/>
  <c r="AW214" i="47"/>
  <c r="AV214" i="47"/>
  <c r="AU214" i="47"/>
  <c r="AT214" i="47"/>
  <c r="AQ214" i="47"/>
  <c r="AP214" i="47"/>
  <c r="AO214" i="47"/>
  <c r="AN214" i="47"/>
  <c r="AI214" i="47"/>
  <c r="AH214" i="47"/>
  <c r="AD214" i="47"/>
  <c r="BJ214" i="47" s="1"/>
  <c r="W214" i="47"/>
  <c r="X214" i="47" s="1"/>
  <c r="V214" i="47"/>
  <c r="S214" i="47"/>
  <c r="R214" i="47"/>
  <c r="Q214" i="47"/>
  <c r="P214" i="47"/>
  <c r="BE213" i="47"/>
  <c r="BD213" i="47"/>
  <c r="BH213" i="47" s="1"/>
  <c r="BC213" i="47"/>
  <c r="BB213" i="47"/>
  <c r="AS213" i="47"/>
  <c r="AW213" i="47" s="1"/>
  <c r="AR213" i="47"/>
  <c r="AV213" i="47" s="1"/>
  <c r="AQ213" i="47"/>
  <c r="AK213" i="47"/>
  <c r="AJ213" i="47"/>
  <c r="AG213" i="47"/>
  <c r="AF213" i="47"/>
  <c r="AE213" i="47"/>
  <c r="AD213" i="47"/>
  <c r="BJ213" i="47" s="1"/>
  <c r="W213" i="47"/>
  <c r="BN212" i="47"/>
  <c r="BM212" i="47"/>
  <c r="BK212" i="47"/>
  <c r="BL212" i="47" s="1"/>
  <c r="BJ212" i="47"/>
  <c r="BI212" i="47"/>
  <c r="BH212" i="47"/>
  <c r="BG212" i="47"/>
  <c r="BF212" i="47"/>
  <c r="BA212" i="47"/>
  <c r="AZ212" i="47"/>
  <c r="AY212" i="47"/>
  <c r="AX212" i="47"/>
  <c r="AW212" i="47"/>
  <c r="AV212" i="47"/>
  <c r="AU212" i="47"/>
  <c r="AT212" i="47"/>
  <c r="AO212" i="47"/>
  <c r="AN212" i="47"/>
  <c r="AM212" i="47"/>
  <c r="AL212" i="47"/>
  <c r="W212" i="47"/>
  <c r="X212" i="47" s="1"/>
  <c r="V212" i="47"/>
  <c r="S212" i="47"/>
  <c r="R212" i="47"/>
  <c r="BK211" i="47"/>
  <c r="BI211" i="47"/>
  <c r="BH211" i="47"/>
  <c r="BA211" i="47"/>
  <c r="AZ211" i="47"/>
  <c r="AW211" i="47"/>
  <c r="AV211" i="47"/>
  <c r="AU211" i="47"/>
  <c r="AQ211" i="47"/>
  <c r="AQ209" i="47" s="1"/>
  <c r="AP211" i="47"/>
  <c r="BM211" i="47" s="1"/>
  <c r="AO211" i="47"/>
  <c r="AN211" i="47"/>
  <c r="AM211" i="47"/>
  <c r="AI211" i="47"/>
  <c r="AH211" i="47"/>
  <c r="AX211" i="47" s="1"/>
  <c r="BF211" i="47" s="1"/>
  <c r="AD211" i="47"/>
  <c r="X211" i="47"/>
  <c r="W211" i="47"/>
  <c r="V211" i="47"/>
  <c r="S211" i="47"/>
  <c r="R211" i="47"/>
  <c r="Q211" i="47"/>
  <c r="P211" i="47"/>
  <c r="BA210" i="47"/>
  <c r="AZ210" i="47"/>
  <c r="AY210" i="47"/>
  <c r="AW210" i="47"/>
  <c r="AV210" i="47"/>
  <c r="AU210" i="47"/>
  <c r="AQ210" i="47"/>
  <c r="AP210" i="47"/>
  <c r="AO210" i="47"/>
  <c r="AN210" i="47"/>
  <c r="AI210" i="47"/>
  <c r="AH210" i="47"/>
  <c r="AX210" i="47" s="1"/>
  <c r="AD210" i="47"/>
  <c r="W210" i="47"/>
  <c r="X210" i="47" s="1"/>
  <c r="V210" i="47"/>
  <c r="S210" i="47"/>
  <c r="R210" i="47"/>
  <c r="Q210" i="47"/>
  <c r="P210" i="47"/>
  <c r="BE209" i="47"/>
  <c r="BD209" i="47"/>
  <c r="BC209" i="47"/>
  <c r="BB209" i="47"/>
  <c r="AU209" i="47"/>
  <c r="AS209" i="47"/>
  <c r="AW209" i="47" s="1"/>
  <c r="AR209" i="47"/>
  <c r="AN209" i="47"/>
  <c r="AK209" i="47"/>
  <c r="AJ209" i="47"/>
  <c r="AH209" i="47"/>
  <c r="AG209" i="47"/>
  <c r="AO209" i="47" s="1"/>
  <c r="AF209" i="47"/>
  <c r="AE209" i="47"/>
  <c r="W209" i="47"/>
  <c r="S209" i="47"/>
  <c r="R209" i="47"/>
  <c r="P209" i="47"/>
  <c r="BK208" i="47"/>
  <c r="BJ208" i="47"/>
  <c r="BL208" i="47" s="1"/>
  <c r="BH208" i="47"/>
  <c r="BA208" i="47"/>
  <c r="BI208" i="47" s="1"/>
  <c r="AZ208" i="47"/>
  <c r="AY208" i="47"/>
  <c r="BG208" i="47" s="1"/>
  <c r="AX208" i="47"/>
  <c r="BF208" i="47" s="1"/>
  <c r="AW208" i="47"/>
  <c r="AV208" i="47"/>
  <c r="AU208" i="47"/>
  <c r="AP208" i="47"/>
  <c r="BM208" i="47" s="1"/>
  <c r="AO208" i="47"/>
  <c r="AN208" i="47"/>
  <c r="AM208" i="47"/>
  <c r="AH208" i="47"/>
  <c r="AD208" i="47"/>
  <c r="W208" i="47"/>
  <c r="X208" i="47" s="1"/>
  <c r="V208" i="47"/>
  <c r="S208" i="47"/>
  <c r="R208" i="47"/>
  <c r="Q208" i="47"/>
  <c r="P208" i="47"/>
  <c r="BM207" i="47"/>
  <c r="BN207" i="47" s="1"/>
  <c r="BK207" i="47"/>
  <c r="BJ207" i="47"/>
  <c r="BL207" i="47" s="1"/>
  <c r="BI207" i="47"/>
  <c r="BH207" i="47"/>
  <c r="BG207" i="47"/>
  <c r="BF207" i="47"/>
  <c r="BA207" i="47"/>
  <c r="AZ207" i="47"/>
  <c r="AY207" i="47"/>
  <c r="AX207" i="47"/>
  <c r="AW207" i="47"/>
  <c r="AV207" i="47"/>
  <c r="AU207" i="47"/>
  <c r="AT207" i="47"/>
  <c r="AO207" i="47"/>
  <c r="AN207" i="47"/>
  <c r="AM207" i="47"/>
  <c r="AL207" i="47"/>
  <c r="W207" i="47"/>
  <c r="X207" i="47" s="1"/>
  <c r="V207" i="47"/>
  <c r="S207" i="47"/>
  <c r="R207" i="47"/>
  <c r="Q207" i="47"/>
  <c r="P207" i="47"/>
  <c r="BM206" i="47"/>
  <c r="BK206" i="47"/>
  <c r="BL206" i="47" s="1"/>
  <c r="BJ206" i="47"/>
  <c r="BN206" i="47" s="1"/>
  <c r="BI206" i="47"/>
  <c r="BG206" i="47"/>
  <c r="BA206" i="47"/>
  <c r="AZ206" i="47"/>
  <c r="BH206" i="47" s="1"/>
  <c r="AY206" i="47"/>
  <c r="AX206" i="47"/>
  <c r="AW206" i="47"/>
  <c r="AV206" i="47"/>
  <c r="AU206" i="47"/>
  <c r="AT206" i="47"/>
  <c r="AO206" i="47"/>
  <c r="AN206" i="47"/>
  <c r="AM206" i="47"/>
  <c r="AL206" i="47"/>
  <c r="W206" i="47"/>
  <c r="X206" i="47" s="1"/>
  <c r="V206" i="47"/>
  <c r="S206" i="47"/>
  <c r="R206" i="47"/>
  <c r="Q206" i="47"/>
  <c r="P206" i="47"/>
  <c r="P205" i="47" s="1"/>
  <c r="BM205" i="47"/>
  <c r="BE205" i="47"/>
  <c r="BD205" i="47"/>
  <c r="BC205" i="47"/>
  <c r="BB205" i="47"/>
  <c r="BA205" i="47"/>
  <c r="AY205" i="47"/>
  <c r="AS205" i="47"/>
  <c r="AW205" i="47" s="1"/>
  <c r="AR205" i="47"/>
  <c r="AV205" i="47" s="1"/>
  <c r="AQ205" i="47"/>
  <c r="AP205" i="47"/>
  <c r="AN205" i="47"/>
  <c r="AM205" i="47"/>
  <c r="AK205" i="47"/>
  <c r="AJ205" i="47"/>
  <c r="AI205" i="47"/>
  <c r="AH205" i="47"/>
  <c r="AG205" i="47"/>
  <c r="AO205" i="47" s="1"/>
  <c r="AF205" i="47"/>
  <c r="AF204" i="47" s="1"/>
  <c r="AE205" i="47"/>
  <c r="W205" i="47"/>
  <c r="S205" i="47"/>
  <c r="S204" i="47" s="1"/>
  <c r="R205" i="47"/>
  <c r="AQ204" i="47"/>
  <c r="AG204" i="47"/>
  <c r="W204" i="47"/>
  <c r="P204" i="47"/>
  <c r="BJ203" i="47"/>
  <c r="BH203" i="47"/>
  <c r="BA203" i="47"/>
  <c r="BI203" i="47" s="1"/>
  <c r="AZ203" i="47"/>
  <c r="AW203" i="47"/>
  <c r="AV203" i="47"/>
  <c r="AQ203" i="47"/>
  <c r="AP203" i="47"/>
  <c r="AO203" i="47"/>
  <c r="AN203" i="47"/>
  <c r="AI203" i="47"/>
  <c r="AH203" i="47"/>
  <c r="BK203" i="47" s="1"/>
  <c r="BL203" i="47" s="1"/>
  <c r="AE203" i="47"/>
  <c r="AD203" i="47"/>
  <c r="X203" i="47"/>
  <c r="W203" i="47"/>
  <c r="V203" i="47"/>
  <c r="S203" i="47"/>
  <c r="R203" i="47"/>
  <c r="Q203" i="47"/>
  <c r="P203" i="47"/>
  <c r="BM202" i="47"/>
  <c r="BN202" i="47" s="1"/>
  <c r="BK202" i="47"/>
  <c r="BL202" i="47" s="1"/>
  <c r="BJ202" i="47"/>
  <c r="BI202" i="47"/>
  <c r="BH202" i="47"/>
  <c r="BA202" i="47"/>
  <c r="AZ202" i="47"/>
  <c r="AW202" i="47"/>
  <c r="AV202" i="47"/>
  <c r="AQ202" i="47"/>
  <c r="AU202" i="47" s="1"/>
  <c r="AP202" i="47"/>
  <c r="AO202" i="47"/>
  <c r="AN202" i="47"/>
  <c r="AM202" i="47"/>
  <c r="AI202" i="47"/>
  <c r="AH202" i="47"/>
  <c r="AE202" i="47"/>
  <c r="AD202" i="47"/>
  <c r="W202" i="47"/>
  <c r="V202" i="47"/>
  <c r="X202" i="47" s="1"/>
  <c r="S202" i="47"/>
  <c r="R202" i="47"/>
  <c r="Q202" i="47"/>
  <c r="P202" i="47"/>
  <c r="BM201" i="47"/>
  <c r="BK201" i="47"/>
  <c r="BJ201" i="47"/>
  <c r="BI201" i="47"/>
  <c r="BA201" i="47"/>
  <c r="AZ201" i="47"/>
  <c r="AY201" i="47"/>
  <c r="BG201" i="47" s="1"/>
  <c r="AX201" i="47"/>
  <c r="BF201" i="47" s="1"/>
  <c r="AW201" i="47"/>
  <c r="AV201" i="47"/>
  <c r="AU201" i="47"/>
  <c r="AT201" i="47"/>
  <c r="AO201" i="47"/>
  <c r="AN201" i="47"/>
  <c r="AM201" i="47"/>
  <c r="AL201" i="47"/>
  <c r="W201" i="47"/>
  <c r="V201" i="47"/>
  <c r="S201" i="47"/>
  <c r="R201" i="47"/>
  <c r="BH200" i="47"/>
  <c r="BF200" i="47"/>
  <c r="BA200" i="47"/>
  <c r="BI200" i="47" s="1"/>
  <c r="AZ200" i="47"/>
  <c r="AY200" i="47"/>
  <c r="BG200" i="47" s="1"/>
  <c r="AX200" i="47"/>
  <c r="AW200" i="47"/>
  <c r="AV200" i="47"/>
  <c r="AT200" i="47"/>
  <c r="AQ200" i="47"/>
  <c r="AO200" i="47"/>
  <c r="AN200" i="47"/>
  <c r="AM200" i="47"/>
  <c r="AL200" i="47"/>
  <c r="AI200" i="47"/>
  <c r="BK200" i="47" s="1"/>
  <c r="AE200" i="47"/>
  <c r="BJ200" i="47" s="1"/>
  <c r="X200" i="47"/>
  <c r="W200" i="47"/>
  <c r="V200" i="47"/>
  <c r="S200" i="47"/>
  <c r="R200" i="47"/>
  <c r="Q200" i="47"/>
  <c r="BK199" i="47"/>
  <c r="BJ199" i="47"/>
  <c r="BI199" i="47"/>
  <c r="BH199" i="47"/>
  <c r="BA199" i="47"/>
  <c r="AZ199" i="47"/>
  <c r="AY199" i="47"/>
  <c r="BG199" i="47" s="1"/>
  <c r="AX199" i="47"/>
  <c r="BF199" i="47" s="1"/>
  <c r="AW199" i="47"/>
  <c r="AV199" i="47"/>
  <c r="AT199" i="47"/>
  <c r="AQ199" i="47"/>
  <c r="AO199" i="47"/>
  <c r="AN199" i="47"/>
  <c r="AL199" i="47"/>
  <c r="AI199" i="47"/>
  <c r="AE199" i="47"/>
  <c r="AM199" i="47" s="1"/>
  <c r="X199" i="47"/>
  <c r="W199" i="47"/>
  <c r="V199" i="47"/>
  <c r="S199" i="47"/>
  <c r="R199" i="47"/>
  <c r="Q199" i="47"/>
  <c r="BM198" i="47"/>
  <c r="BN198" i="47" s="1"/>
  <c r="BI198" i="47"/>
  <c r="BH198" i="47"/>
  <c r="BF198" i="47"/>
  <c r="BA198" i="47"/>
  <c r="AZ198" i="47"/>
  <c r="AY198" i="47"/>
  <c r="BG198" i="47" s="1"/>
  <c r="AX198" i="47"/>
  <c r="AW198" i="47"/>
  <c r="AV198" i="47"/>
  <c r="AT198" i="47"/>
  <c r="AQ198" i="47"/>
  <c r="AU198" i="47" s="1"/>
  <c r="AO198" i="47"/>
  <c r="AN198" i="47"/>
  <c r="AM198" i="47"/>
  <c r="AL198" i="47"/>
  <c r="AI198" i="47"/>
  <c r="AE198" i="47"/>
  <c r="BJ198" i="47" s="1"/>
  <c r="X198" i="47"/>
  <c r="W198" i="47"/>
  <c r="V198" i="47"/>
  <c r="S198" i="47"/>
  <c r="R198" i="47"/>
  <c r="Q198" i="47"/>
  <c r="BK197" i="47"/>
  <c r="BL197" i="47" s="1"/>
  <c r="BJ197" i="47"/>
  <c r="BI197" i="47"/>
  <c r="BH197" i="47"/>
  <c r="BF197" i="47"/>
  <c r="BA197" i="47"/>
  <c r="AZ197" i="47"/>
  <c r="AX197" i="47"/>
  <c r="AW197" i="47"/>
  <c r="AV197" i="47"/>
  <c r="AU197" i="47"/>
  <c r="AT197" i="47"/>
  <c r="AQ197" i="47"/>
  <c r="AO197" i="47"/>
  <c r="AN197" i="47"/>
  <c r="AM197" i="47"/>
  <c r="AL197" i="47"/>
  <c r="AI197" i="47"/>
  <c r="AE197" i="47"/>
  <c r="W197" i="47"/>
  <c r="V197" i="47"/>
  <c r="X197" i="47" s="1"/>
  <c r="S197" i="47"/>
  <c r="S196" i="47" s="1"/>
  <c r="S195" i="47" s="1"/>
  <c r="R197" i="47"/>
  <c r="R196" i="47" s="1"/>
  <c r="R195" i="47" s="1"/>
  <c r="Q197" i="47"/>
  <c r="P197" i="47"/>
  <c r="BE196" i="47"/>
  <c r="BD196" i="47"/>
  <c r="BC196" i="47"/>
  <c r="BB196" i="47"/>
  <c r="BA196" i="47"/>
  <c r="BA195" i="47" s="1"/>
  <c r="AS196" i="47"/>
  <c r="AR196" i="47"/>
  <c r="AK196" i="47"/>
  <c r="AJ196" i="47"/>
  <c r="AG196" i="47"/>
  <c r="AO196" i="47" s="1"/>
  <c r="AF196" i="47"/>
  <c r="AN196" i="47" s="1"/>
  <c r="W196" i="47"/>
  <c r="AS195" i="47"/>
  <c r="AR195" i="47"/>
  <c r="AK195" i="47"/>
  <c r="AJ195" i="47"/>
  <c r="AG195" i="47"/>
  <c r="AW195" i="47" s="1"/>
  <c r="AF195" i="47"/>
  <c r="W195" i="47"/>
  <c r="AB194" i="47"/>
  <c r="AC194" i="47" s="1"/>
  <c r="AA194" i="47"/>
  <c r="Z194" i="47"/>
  <c r="W194" i="47"/>
  <c r="BM193" i="47"/>
  <c r="BK193" i="47"/>
  <c r="BL193" i="47" s="1"/>
  <c r="BJ193" i="47"/>
  <c r="BN193" i="47" s="1"/>
  <c r="BF193" i="47"/>
  <c r="BA193" i="47"/>
  <c r="BI193" i="47" s="1"/>
  <c r="AZ193" i="47"/>
  <c r="BH193" i="47" s="1"/>
  <c r="AY193" i="47"/>
  <c r="BG193" i="47" s="1"/>
  <c r="AX193" i="47"/>
  <c r="AW193" i="47"/>
  <c r="AV193" i="47"/>
  <c r="AU193" i="47"/>
  <c r="AT193" i="47"/>
  <c r="AO193" i="47"/>
  <c r="AN193" i="47"/>
  <c r="AM193" i="47"/>
  <c r="AL193" i="47"/>
  <c r="W193" i="47"/>
  <c r="X193" i="47" s="1"/>
  <c r="V193" i="47"/>
  <c r="S193" i="47"/>
  <c r="R193" i="47"/>
  <c r="Q193" i="47"/>
  <c r="P193" i="47"/>
  <c r="BM192" i="47"/>
  <c r="BK192" i="47"/>
  <c r="BJ192" i="47"/>
  <c r="BL192" i="47" s="1"/>
  <c r="BI192" i="47"/>
  <c r="BH192" i="47"/>
  <c r="BA192" i="47"/>
  <c r="AZ192" i="47"/>
  <c r="AY192" i="47"/>
  <c r="BG192" i="47" s="1"/>
  <c r="AX192" i="47"/>
  <c r="BF192" i="47" s="1"/>
  <c r="AW192" i="47"/>
  <c r="AV192" i="47"/>
  <c r="AU192" i="47"/>
  <c r="AT192" i="47"/>
  <c r="AO192" i="47"/>
  <c r="AN192" i="47"/>
  <c r="AM192" i="47"/>
  <c r="AH192" i="47"/>
  <c r="AL192" i="47" s="1"/>
  <c r="AD192" i="47"/>
  <c r="W192" i="47"/>
  <c r="X192" i="47" s="1"/>
  <c r="V192" i="47"/>
  <c r="S192" i="47"/>
  <c r="S189" i="47" s="1"/>
  <c r="R192" i="47"/>
  <c r="Q192" i="47"/>
  <c r="P192" i="47"/>
  <c r="BM191" i="47"/>
  <c r="BA191" i="47"/>
  <c r="AZ191" i="47"/>
  <c r="AY191" i="47"/>
  <c r="AX191" i="47"/>
  <c r="AW191" i="47"/>
  <c r="AV191" i="47"/>
  <c r="AU191" i="47"/>
  <c r="AP191" i="47"/>
  <c r="AO191" i="47"/>
  <c r="AN191" i="47"/>
  <c r="AM191" i="47"/>
  <c r="AH191" i="47"/>
  <c r="AD191" i="47"/>
  <c r="W191" i="47"/>
  <c r="X191" i="47" s="1"/>
  <c r="V191" i="47"/>
  <c r="S191" i="47"/>
  <c r="R191" i="47"/>
  <c r="Q191" i="47"/>
  <c r="P191" i="47"/>
  <c r="BM190" i="47"/>
  <c r="BK190" i="47"/>
  <c r="BJ190" i="47"/>
  <c r="BI190" i="47"/>
  <c r="BH190" i="47"/>
  <c r="BG190" i="47"/>
  <c r="BF190" i="47"/>
  <c r="BA190" i="47"/>
  <c r="AZ190" i="47"/>
  <c r="AY190" i="47"/>
  <c r="AX190" i="47"/>
  <c r="AW190" i="47"/>
  <c r="AV190" i="47"/>
  <c r="AU190" i="47"/>
  <c r="AT190" i="47"/>
  <c r="AO190" i="47"/>
  <c r="AN190" i="47"/>
  <c r="AM190" i="47"/>
  <c r="AL190" i="47"/>
  <c r="W190" i="47"/>
  <c r="X190" i="47" s="1"/>
  <c r="V190" i="47"/>
  <c r="S190" i="47"/>
  <c r="R190" i="47"/>
  <c r="R189" i="47" s="1"/>
  <c r="Q190" i="47"/>
  <c r="P190" i="47"/>
  <c r="BE189" i="47"/>
  <c r="BD189" i="47"/>
  <c r="BC189" i="47"/>
  <c r="BB189" i="47"/>
  <c r="AW189" i="47"/>
  <c r="AS189" i="47"/>
  <c r="AR189" i="47"/>
  <c r="AV189" i="47" s="1"/>
  <c r="AQ189" i="47"/>
  <c r="AP189" i="47"/>
  <c r="AK189" i="47"/>
  <c r="AJ189" i="47"/>
  <c r="AI189" i="47"/>
  <c r="AG189" i="47"/>
  <c r="AF189" i="47"/>
  <c r="AE189" i="47"/>
  <c r="AM189" i="47" s="1"/>
  <c r="W189" i="47"/>
  <c r="Q189" i="47"/>
  <c r="BN188" i="47"/>
  <c r="BM188" i="47"/>
  <c r="BK188" i="47"/>
  <c r="BJ188" i="47"/>
  <c r="BL188" i="47" s="1"/>
  <c r="BI188" i="47"/>
  <c r="BA188" i="47"/>
  <c r="AZ188" i="47"/>
  <c r="BH188" i="47" s="1"/>
  <c r="AY188" i="47"/>
  <c r="BG188" i="47" s="1"/>
  <c r="AX188" i="47"/>
  <c r="BF188" i="47" s="1"/>
  <c r="AW188" i="47"/>
  <c r="AV188" i="47"/>
  <c r="AU188" i="47"/>
  <c r="AT188" i="47"/>
  <c r="AO188" i="47"/>
  <c r="AN188" i="47"/>
  <c r="AM188" i="47"/>
  <c r="AL188" i="47"/>
  <c r="W188" i="47"/>
  <c r="X188" i="47" s="1"/>
  <c r="V188" i="47"/>
  <c r="S188" i="47"/>
  <c r="R188" i="47"/>
  <c r="Q188" i="47"/>
  <c r="P188" i="47"/>
  <c r="BM187" i="47"/>
  <c r="BN187" i="47" s="1"/>
  <c r="BL187" i="47"/>
  <c r="BK187" i="47"/>
  <c r="BJ187" i="47"/>
  <c r="BI187" i="47"/>
  <c r="BH187" i="47"/>
  <c r="BG187" i="47"/>
  <c r="BF187" i="47"/>
  <c r="BA187" i="47"/>
  <c r="AZ187" i="47"/>
  <c r="AY187" i="47"/>
  <c r="AX187" i="47"/>
  <c r="AW187" i="47"/>
  <c r="AV187" i="47"/>
  <c r="AU187" i="47"/>
  <c r="AT187" i="47"/>
  <c r="AO187" i="47"/>
  <c r="AN187" i="47"/>
  <c r="AM187" i="47"/>
  <c r="AL187" i="47"/>
  <c r="W187" i="47"/>
  <c r="V187" i="47"/>
  <c r="S187" i="47"/>
  <c r="R187" i="47"/>
  <c r="R184" i="47" s="1"/>
  <c r="Q187" i="47"/>
  <c r="Q184" i="47" s="1"/>
  <c r="P187" i="47"/>
  <c r="BM186" i="47"/>
  <c r="BA186" i="47"/>
  <c r="BI186" i="47" s="1"/>
  <c r="AZ186" i="47"/>
  <c r="AY186" i="47"/>
  <c r="AX186" i="47"/>
  <c r="AW186" i="47"/>
  <c r="AV186" i="47"/>
  <c r="AU186" i="47"/>
  <c r="AP186" i="47"/>
  <c r="AO186" i="47"/>
  <c r="AN186" i="47"/>
  <c r="AM186" i="47"/>
  <c r="AH186" i="47"/>
  <c r="AD186" i="47"/>
  <c r="W186" i="47"/>
  <c r="X186" i="47" s="1"/>
  <c r="V186" i="47"/>
  <c r="S186" i="47"/>
  <c r="R186" i="47"/>
  <c r="Q186" i="47"/>
  <c r="P186" i="47"/>
  <c r="BM185" i="47"/>
  <c r="BK185" i="47"/>
  <c r="BJ185" i="47"/>
  <c r="BH185" i="47"/>
  <c r="BG185" i="47"/>
  <c r="BF185" i="47"/>
  <c r="BA185" i="47"/>
  <c r="AZ185" i="47"/>
  <c r="AY185" i="47"/>
  <c r="AX185" i="47"/>
  <c r="AW185" i="47"/>
  <c r="AV185" i="47"/>
  <c r="AU185" i="47"/>
  <c r="AT185" i="47"/>
  <c r="AO185" i="47"/>
  <c r="AN185" i="47"/>
  <c r="AM185" i="47"/>
  <c r="AL185" i="47"/>
  <c r="X185" i="47"/>
  <c r="W185" i="47"/>
  <c r="V185" i="47"/>
  <c r="S185" i="47"/>
  <c r="R185" i="47"/>
  <c r="BE184" i="47"/>
  <c r="BE183" i="47" s="1"/>
  <c r="BD184" i="47"/>
  <c r="BC184" i="47"/>
  <c r="BB184" i="47"/>
  <c r="AS184" i="47"/>
  <c r="AR184" i="47"/>
  <c r="AQ184" i="47"/>
  <c r="AP184" i="47"/>
  <c r="AK184" i="47"/>
  <c r="AJ184" i="47"/>
  <c r="AN184" i="47" s="1"/>
  <c r="AI184" i="47"/>
  <c r="AM184" i="47" s="1"/>
  <c r="AG184" i="47"/>
  <c r="AG183" i="47" s="1"/>
  <c r="AF184" i="47"/>
  <c r="AF183" i="47" s="1"/>
  <c r="AE184" i="47"/>
  <c r="W184" i="47"/>
  <c r="BC183" i="47"/>
  <c r="AQ183" i="47"/>
  <c r="AP183" i="47"/>
  <c r="AI183" i="47"/>
  <c r="W183" i="47"/>
  <c r="Q183" i="47"/>
  <c r="BM182" i="47"/>
  <c r="BN182" i="47" s="1"/>
  <c r="BL182" i="47"/>
  <c r="BK182" i="47"/>
  <c r="BJ182" i="47"/>
  <c r="BA182" i="47"/>
  <c r="BI182" i="47" s="1"/>
  <c r="AZ182" i="47"/>
  <c r="BH182" i="47" s="1"/>
  <c r="AY182" i="47"/>
  <c r="BG182" i="47" s="1"/>
  <c r="AX182" i="47"/>
  <c r="BF182" i="47" s="1"/>
  <c r="AW182" i="47"/>
  <c r="AV182" i="47"/>
  <c r="AU182" i="47"/>
  <c r="AT182" i="47"/>
  <c r="AO182" i="47"/>
  <c r="AN182" i="47"/>
  <c r="AM182" i="47"/>
  <c r="AL182" i="47"/>
  <c r="W182" i="47"/>
  <c r="V182" i="47"/>
  <c r="S182" i="47"/>
  <c r="R182" i="47"/>
  <c r="Q182" i="47"/>
  <c r="P182" i="47"/>
  <c r="P178" i="47" s="1"/>
  <c r="P177" i="47" s="1"/>
  <c r="BM181" i="47"/>
  <c r="BN181" i="47" s="1"/>
  <c r="BK181" i="47"/>
  <c r="BJ181" i="47"/>
  <c r="BF181" i="47"/>
  <c r="BA181" i="47"/>
  <c r="BI181" i="47" s="1"/>
  <c r="AZ181" i="47"/>
  <c r="BH181" i="47" s="1"/>
  <c r="AY181" i="47"/>
  <c r="BG181" i="47" s="1"/>
  <c r="AX181" i="47"/>
  <c r="AW181" i="47"/>
  <c r="AV181" i="47"/>
  <c r="AU181" i="47"/>
  <c r="AT181" i="47"/>
  <c r="AO181" i="47"/>
  <c r="AN181" i="47"/>
  <c r="AM181" i="47"/>
  <c r="AL181" i="47"/>
  <c r="W181" i="47"/>
  <c r="X181" i="47" s="1"/>
  <c r="V181" i="47"/>
  <c r="S181" i="47"/>
  <c r="R181" i="47"/>
  <c r="Q181" i="47"/>
  <c r="BM180" i="47"/>
  <c r="BN180" i="47" s="1"/>
  <c r="BL180" i="47"/>
  <c r="BK180" i="47"/>
  <c r="BJ180" i="47"/>
  <c r="BH180" i="47"/>
  <c r="BG180" i="47"/>
  <c r="BF180" i="47"/>
  <c r="BA180" i="47"/>
  <c r="BI180" i="47" s="1"/>
  <c r="AZ180" i="47"/>
  <c r="AY180" i="47"/>
  <c r="AX180" i="47"/>
  <c r="AW180" i="47"/>
  <c r="AV180" i="47"/>
  <c r="AU180" i="47"/>
  <c r="AT180" i="47"/>
  <c r="AO180" i="47"/>
  <c r="AN180" i="47"/>
  <c r="AM180" i="47"/>
  <c r="AL180" i="47"/>
  <c r="X180" i="47"/>
  <c r="W180" i="47"/>
  <c r="V180" i="47"/>
  <c r="S180" i="47"/>
  <c r="R180" i="47"/>
  <c r="Q180" i="47"/>
  <c r="P180" i="47"/>
  <c r="BM179" i="47"/>
  <c r="BL179" i="47"/>
  <c r="BK179" i="47"/>
  <c r="BJ179" i="47"/>
  <c r="BN179" i="47" s="1"/>
  <c r="BI179" i="47"/>
  <c r="BA179" i="47"/>
  <c r="AZ179" i="47"/>
  <c r="BH179" i="47" s="1"/>
  <c r="AY179" i="47"/>
  <c r="AX179" i="47"/>
  <c r="AW179" i="47"/>
  <c r="AV179" i="47"/>
  <c r="AU179" i="47"/>
  <c r="AT179" i="47"/>
  <c r="AO179" i="47"/>
  <c r="AN179" i="47"/>
  <c r="AM179" i="47"/>
  <c r="AL179" i="47"/>
  <c r="W179" i="47"/>
  <c r="X179" i="47" s="1"/>
  <c r="V179" i="47"/>
  <c r="S179" i="47"/>
  <c r="R179" i="47"/>
  <c r="Q179" i="47"/>
  <c r="P179" i="47"/>
  <c r="BE178" i="47"/>
  <c r="BD178" i="47"/>
  <c r="BC178" i="47"/>
  <c r="BB178" i="47"/>
  <c r="BB177" i="47" s="1"/>
  <c r="BA178" i="47"/>
  <c r="BA177" i="47" s="1"/>
  <c r="AZ178" i="47"/>
  <c r="AZ177" i="47" s="1"/>
  <c r="AS178" i="47"/>
  <c r="AR178" i="47"/>
  <c r="AV178" i="47" s="1"/>
  <c r="AQ178" i="47"/>
  <c r="AP178" i="47"/>
  <c r="AO178" i="47"/>
  <c r="AN178" i="47"/>
  <c r="AL178" i="47"/>
  <c r="AK178" i="47"/>
  <c r="AK177" i="47" s="1"/>
  <c r="AO177" i="47" s="1"/>
  <c r="AJ178" i="47"/>
  <c r="AI178" i="47"/>
  <c r="AH178" i="47"/>
  <c r="AG178" i="47"/>
  <c r="AG177" i="47" s="1"/>
  <c r="AF178" i="47"/>
  <c r="AE178" i="47"/>
  <c r="AE177" i="47" s="1"/>
  <c r="AD178" i="47"/>
  <c r="BJ178" i="47" s="1"/>
  <c r="S178" i="47"/>
  <c r="S177" i="47" s="1"/>
  <c r="Q178" i="47"/>
  <c r="Q177" i="47" s="1"/>
  <c r="BC177" i="47"/>
  <c r="AR177" i="47"/>
  <c r="AV177" i="47" s="1"/>
  <c r="AJ177" i="47"/>
  <c r="AN177" i="47" s="1"/>
  <c r="AI177" i="47"/>
  <c r="AM177" i="47" s="1"/>
  <c r="AH177" i="47"/>
  <c r="AF177" i="47"/>
  <c r="BM176" i="47"/>
  <c r="BK176" i="47"/>
  <c r="BJ176" i="47"/>
  <c r="BL176" i="47" s="1"/>
  <c r="BH176" i="47"/>
  <c r="BG176" i="47"/>
  <c r="BF176" i="47"/>
  <c r="BA176" i="47"/>
  <c r="BI176" i="47" s="1"/>
  <c r="AZ176" i="47"/>
  <c r="AY176" i="47"/>
  <c r="AX176" i="47"/>
  <c r="AW176" i="47"/>
  <c r="AV176" i="47"/>
  <c r="AU176" i="47"/>
  <c r="AT176" i="47"/>
  <c r="AO176" i="47"/>
  <c r="AN176" i="47"/>
  <c r="AM176" i="47"/>
  <c r="AL176" i="47"/>
  <c r="X176" i="47"/>
  <c r="X173" i="47" s="1"/>
  <c r="X172" i="47" s="1"/>
  <c r="W176" i="47"/>
  <c r="V176" i="47"/>
  <c r="S176" i="47"/>
  <c r="R176" i="47"/>
  <c r="Q176" i="47"/>
  <c r="BM175" i="47"/>
  <c r="BK175" i="47"/>
  <c r="BL175" i="47" s="1"/>
  <c r="BJ175" i="47"/>
  <c r="BI175" i="47"/>
  <c r="BH175" i="47"/>
  <c r="BG175" i="47"/>
  <c r="BF175" i="47"/>
  <c r="BA175" i="47"/>
  <c r="AZ175" i="47"/>
  <c r="AY175" i="47"/>
  <c r="AX175" i="47"/>
  <c r="AW175" i="47"/>
  <c r="AV175" i="47"/>
  <c r="AU175" i="47"/>
  <c r="AT175" i="47"/>
  <c r="AO175" i="47"/>
  <c r="AN175" i="47"/>
  <c r="AM175" i="47"/>
  <c r="AL175" i="47"/>
  <c r="W175" i="47"/>
  <c r="V175" i="47"/>
  <c r="X175" i="47" s="1"/>
  <c r="S175" i="47"/>
  <c r="R175" i="47"/>
  <c r="BM174" i="47"/>
  <c r="BK174" i="47"/>
  <c r="BL174" i="47" s="1"/>
  <c r="BJ174" i="47"/>
  <c r="BI174" i="47"/>
  <c r="BH174" i="47"/>
  <c r="BA174" i="47"/>
  <c r="AZ174" i="47"/>
  <c r="AY174" i="47"/>
  <c r="BG174" i="47" s="1"/>
  <c r="AX174" i="47"/>
  <c r="AW174" i="47"/>
  <c r="AV174" i="47"/>
  <c r="AU174" i="47"/>
  <c r="AT174" i="47"/>
  <c r="AO174" i="47"/>
  <c r="AN174" i="47"/>
  <c r="AM174" i="47"/>
  <c r="AL174" i="47"/>
  <c r="X174" i="47"/>
  <c r="W174" i="47"/>
  <c r="V174" i="47"/>
  <c r="S174" i="47"/>
  <c r="R174" i="47"/>
  <c r="Q174" i="47"/>
  <c r="Q173" i="47" s="1"/>
  <c r="Q172" i="47" s="1"/>
  <c r="BH173" i="47"/>
  <c r="BE173" i="47"/>
  <c r="BD173" i="47"/>
  <c r="BC173" i="47"/>
  <c r="BB173" i="47"/>
  <c r="BB172" i="47" s="1"/>
  <c r="AZ173" i="47"/>
  <c r="AZ172" i="47" s="1"/>
  <c r="AY173" i="47"/>
  <c r="AY172" i="47" s="1"/>
  <c r="AS173" i="47"/>
  <c r="AW173" i="47" s="1"/>
  <c r="AR173" i="47"/>
  <c r="AQ173" i="47"/>
  <c r="AP173" i="47"/>
  <c r="AO173" i="47"/>
  <c r="AN173" i="47"/>
  <c r="AK173" i="47"/>
  <c r="AJ173" i="47"/>
  <c r="AI173" i="47"/>
  <c r="AH173" i="47"/>
  <c r="AG173" i="47"/>
  <c r="AG172" i="47" s="1"/>
  <c r="AF173" i="47"/>
  <c r="AF172" i="47" s="1"/>
  <c r="AE173" i="47"/>
  <c r="AD173" i="47"/>
  <c r="BJ173" i="47" s="1"/>
  <c r="S173" i="47"/>
  <c r="S172" i="47" s="1"/>
  <c r="R173" i="47"/>
  <c r="R172" i="47" s="1"/>
  <c r="P173" i="47"/>
  <c r="BH172" i="47"/>
  <c r="BG172" i="47"/>
  <c r="BD172" i="47"/>
  <c r="BC172" i="47"/>
  <c r="AS172" i="47"/>
  <c r="AW172" i="47" s="1"/>
  <c r="AK172" i="47"/>
  <c r="AO172" i="47" s="1"/>
  <c r="AJ172" i="47"/>
  <c r="AN172" i="47" s="1"/>
  <c r="AI172" i="47"/>
  <c r="AH172" i="47"/>
  <c r="AD172" i="47"/>
  <c r="BM171" i="47"/>
  <c r="BN171" i="47" s="1"/>
  <c r="BL171" i="47"/>
  <c r="BK171" i="47"/>
  <c r="BJ171" i="47"/>
  <c r="BI171" i="47"/>
  <c r="BH171" i="47"/>
  <c r="BF171" i="47"/>
  <c r="BA171" i="47"/>
  <c r="AZ171" i="47"/>
  <c r="AY171" i="47"/>
  <c r="BG171" i="47" s="1"/>
  <c r="AX171" i="47"/>
  <c r="AW171" i="47"/>
  <c r="AV171" i="47"/>
  <c r="AU171" i="47"/>
  <c r="AT171" i="47"/>
  <c r="AO171" i="47"/>
  <c r="AN171" i="47"/>
  <c r="AM171" i="47"/>
  <c r="AL171" i="47"/>
  <c r="X171" i="47"/>
  <c r="W171" i="47"/>
  <c r="V171" i="47"/>
  <c r="S171" i="47"/>
  <c r="R171" i="47"/>
  <c r="BM170" i="47"/>
  <c r="BN170" i="47" s="1"/>
  <c r="BK170" i="47"/>
  <c r="BL170" i="47" s="1"/>
  <c r="BJ170" i="47"/>
  <c r="BH170" i="47"/>
  <c r="BA170" i="47"/>
  <c r="BI170" i="47" s="1"/>
  <c r="AZ170" i="47"/>
  <c r="AX170" i="47"/>
  <c r="BF170" i="47" s="1"/>
  <c r="AW170" i="47"/>
  <c r="AV170" i="47"/>
  <c r="AU170" i="47"/>
  <c r="AT170" i="47"/>
  <c r="AQ170" i="47"/>
  <c r="AO170" i="47"/>
  <c r="AN170" i="47"/>
  <c r="AM170" i="47"/>
  <c r="AL170" i="47"/>
  <c r="AI170" i="47"/>
  <c r="AY170" i="47" s="1"/>
  <c r="BG170" i="47" s="1"/>
  <c r="AE170" i="47"/>
  <c r="W170" i="47"/>
  <c r="X170" i="47" s="1"/>
  <c r="V170" i="47"/>
  <c r="S170" i="47"/>
  <c r="R170" i="47"/>
  <c r="Q170" i="47"/>
  <c r="P170" i="47"/>
  <c r="BK169" i="47"/>
  <c r="BH169" i="47"/>
  <c r="BG169" i="47"/>
  <c r="BF169" i="47"/>
  <c r="BA169" i="47"/>
  <c r="BI169" i="47" s="1"/>
  <c r="AZ169" i="47"/>
  <c r="AY169" i="47"/>
  <c r="AX169" i="47"/>
  <c r="AW169" i="47"/>
  <c r="AV169" i="47"/>
  <c r="AT169" i="47"/>
  <c r="AQ169" i="47"/>
  <c r="AO169" i="47"/>
  <c r="AN169" i="47"/>
  <c r="AM169" i="47"/>
  <c r="AL169" i="47"/>
  <c r="AI169" i="47"/>
  <c r="AE169" i="47"/>
  <c r="BJ169" i="47" s="1"/>
  <c r="X169" i="47"/>
  <c r="W169" i="47"/>
  <c r="V169" i="47"/>
  <c r="S169" i="47"/>
  <c r="R169" i="47"/>
  <c r="Q169" i="47"/>
  <c r="BK168" i="47"/>
  <c r="BL168" i="47" s="1"/>
  <c r="BI168" i="47"/>
  <c r="BH168" i="47"/>
  <c r="BF168" i="47"/>
  <c r="BA168" i="47"/>
  <c r="AZ168" i="47"/>
  <c r="AX168" i="47"/>
  <c r="AW168" i="47"/>
  <c r="AV168" i="47"/>
  <c r="AT168" i="47"/>
  <c r="AQ168" i="47"/>
  <c r="AO168" i="47"/>
  <c r="AN168" i="47"/>
  <c r="AM168" i="47"/>
  <c r="AL168" i="47"/>
  <c r="AI168" i="47"/>
  <c r="AE168" i="47"/>
  <c r="BJ168" i="47" s="1"/>
  <c r="W168" i="47"/>
  <c r="V168" i="47"/>
  <c r="X168" i="47" s="1"/>
  <c r="S168" i="47"/>
  <c r="R168" i="47"/>
  <c r="Q168" i="47"/>
  <c r="BM167" i="47"/>
  <c r="BK167" i="47"/>
  <c r="BI167" i="47"/>
  <c r="BH167" i="47"/>
  <c r="BA167" i="47"/>
  <c r="AZ167" i="47"/>
  <c r="AX167" i="47"/>
  <c r="BF167" i="47" s="1"/>
  <c r="AW167" i="47"/>
  <c r="AV167" i="47"/>
  <c r="AT167" i="47"/>
  <c r="AQ167" i="47"/>
  <c r="AO167" i="47"/>
  <c r="AN167" i="47"/>
  <c r="AL167" i="47"/>
  <c r="AI167" i="47"/>
  <c r="AE167" i="47"/>
  <c r="X167" i="47"/>
  <c r="W167" i="47"/>
  <c r="V167" i="47"/>
  <c r="S167" i="47"/>
  <c r="R167" i="47"/>
  <c r="Q167" i="47"/>
  <c r="Q163" i="47" s="1"/>
  <c r="BN166" i="47"/>
  <c r="BM166" i="47"/>
  <c r="BL166" i="47"/>
  <c r="BK166" i="47"/>
  <c r="BJ166" i="47"/>
  <c r="BI166" i="47"/>
  <c r="BH166" i="47"/>
  <c r="BA166" i="47"/>
  <c r="AZ166" i="47"/>
  <c r="AY166" i="47"/>
  <c r="BG166" i="47" s="1"/>
  <c r="AX166" i="47"/>
  <c r="BF166" i="47" s="1"/>
  <c r="AW166" i="47"/>
  <c r="AV166" i="47"/>
  <c r="AU166" i="47"/>
  <c r="AT166" i="47"/>
  <c r="AO166" i="47"/>
  <c r="AN166" i="47"/>
  <c r="AM166" i="47"/>
  <c r="AL166" i="47"/>
  <c r="W166" i="47"/>
  <c r="V166" i="47"/>
  <c r="S166" i="47"/>
  <c r="R166" i="47"/>
  <c r="BI165" i="47"/>
  <c r="BA165" i="47"/>
  <c r="AZ165" i="47"/>
  <c r="BH165" i="47" s="1"/>
  <c r="AX165" i="47"/>
  <c r="BF165" i="47" s="1"/>
  <c r="AW165" i="47"/>
  <c r="AV165" i="47"/>
  <c r="AT165" i="47"/>
  <c r="AQ165" i="47"/>
  <c r="AO165" i="47"/>
  <c r="AN165" i="47"/>
  <c r="AL165" i="47"/>
  <c r="AI165" i="47"/>
  <c r="AE165" i="47"/>
  <c r="BJ165" i="47" s="1"/>
  <c r="X165" i="47"/>
  <c r="W165" i="47"/>
  <c r="V165" i="47"/>
  <c r="S165" i="47"/>
  <c r="R165" i="47"/>
  <c r="Q165" i="47"/>
  <c r="BH164" i="47"/>
  <c r="BA164" i="47"/>
  <c r="BA163" i="47" s="1"/>
  <c r="BA162" i="47" s="1"/>
  <c r="BI162" i="47" s="1"/>
  <c r="AZ164" i="47"/>
  <c r="AX164" i="47"/>
  <c r="BF164" i="47" s="1"/>
  <c r="AW164" i="47"/>
  <c r="AV164" i="47"/>
  <c r="AT164" i="47"/>
  <c r="AQ164" i="47"/>
  <c r="BM164" i="47" s="1"/>
  <c r="AO164" i="47"/>
  <c r="AN164" i="47"/>
  <c r="AL164" i="47"/>
  <c r="AI164" i="47"/>
  <c r="AE164" i="47"/>
  <c r="W164" i="47"/>
  <c r="X164" i="47" s="1"/>
  <c r="V164" i="47"/>
  <c r="S164" i="47"/>
  <c r="S163" i="47" s="1"/>
  <c r="R164" i="47"/>
  <c r="Q164" i="47"/>
  <c r="BE163" i="47"/>
  <c r="BE162" i="47" s="1"/>
  <c r="BD163" i="47"/>
  <c r="BD162" i="47" s="1"/>
  <c r="BC163" i="47"/>
  <c r="BB163" i="47"/>
  <c r="AT163" i="47"/>
  <c r="AS163" i="47"/>
  <c r="AR163" i="47"/>
  <c r="AR162" i="47" s="1"/>
  <c r="AP163" i="47"/>
  <c r="AL163" i="47"/>
  <c r="AK163" i="47"/>
  <c r="AJ163" i="47"/>
  <c r="AH163" i="47"/>
  <c r="AH162" i="47" s="1"/>
  <c r="AL162" i="47" s="1"/>
  <c r="AG163" i="47"/>
  <c r="AG162" i="47" s="1"/>
  <c r="AF163" i="47"/>
  <c r="AV163" i="47" s="1"/>
  <c r="AD163" i="47"/>
  <c r="AD162" i="47" s="1"/>
  <c r="R163" i="47"/>
  <c r="P163" i="47"/>
  <c r="P162" i="47" s="1"/>
  <c r="BC162" i="47"/>
  <c r="BB162" i="47"/>
  <c r="AS162" i="47"/>
  <c r="AW162" i="47" s="1"/>
  <c r="AP162" i="47"/>
  <c r="AT162" i="47" s="1"/>
  <c r="S162" i="47"/>
  <c r="R162" i="47"/>
  <c r="Q162" i="47"/>
  <c r="BM161" i="47"/>
  <c r="BK161" i="47"/>
  <c r="BJ161" i="47"/>
  <c r="BN161" i="47" s="1"/>
  <c r="BI161" i="47"/>
  <c r="BA161" i="47"/>
  <c r="AZ161" i="47"/>
  <c r="BH161" i="47" s="1"/>
  <c r="AY161" i="47"/>
  <c r="BG161" i="47" s="1"/>
  <c r="AX161" i="47"/>
  <c r="AW161" i="47"/>
  <c r="AV161" i="47"/>
  <c r="AU161" i="47"/>
  <c r="AT161" i="47"/>
  <c r="AO161" i="47"/>
  <c r="AN161" i="47"/>
  <c r="AM161" i="47"/>
  <c r="AL161" i="47"/>
  <c r="W161" i="47"/>
  <c r="X161" i="47" s="1"/>
  <c r="V161" i="47"/>
  <c r="S161" i="47"/>
  <c r="R161" i="47"/>
  <c r="R159" i="47" s="1"/>
  <c r="Q161" i="47"/>
  <c r="P161" i="47"/>
  <c r="BM160" i="47"/>
  <c r="BK160" i="47"/>
  <c r="BL160" i="47" s="1"/>
  <c r="BJ160" i="47"/>
  <c r="BI160" i="47"/>
  <c r="BH160" i="47"/>
  <c r="BG160" i="47"/>
  <c r="BF160" i="47"/>
  <c r="BA160" i="47"/>
  <c r="AZ160" i="47"/>
  <c r="AY160" i="47"/>
  <c r="AX160" i="47"/>
  <c r="AW160" i="47"/>
  <c r="AV160" i="47"/>
  <c r="AU160" i="47"/>
  <c r="AT160" i="47"/>
  <c r="AO160" i="47"/>
  <c r="AN160" i="47"/>
  <c r="AM160" i="47"/>
  <c r="AL160" i="47"/>
  <c r="X160" i="47"/>
  <c r="W160" i="47"/>
  <c r="V160" i="47"/>
  <c r="S160" i="47"/>
  <c r="R160" i="47"/>
  <c r="Q160" i="47"/>
  <c r="P160" i="47"/>
  <c r="BM159" i="47"/>
  <c r="BI159" i="47"/>
  <c r="BG159" i="47"/>
  <c r="BE159" i="47"/>
  <c r="BD159" i="47"/>
  <c r="BC159" i="47"/>
  <c r="BB159" i="47"/>
  <c r="BA159" i="47"/>
  <c r="AZ159" i="47"/>
  <c r="AY159" i="47"/>
  <c r="AU159" i="47"/>
  <c r="AT159" i="47"/>
  <c r="AS159" i="47"/>
  <c r="AR159" i="47"/>
  <c r="AV159" i="47" s="1"/>
  <c r="AQ159" i="47"/>
  <c r="AP159" i="47"/>
  <c r="AN159" i="47"/>
  <c r="AM159" i="47"/>
  <c r="AL159" i="47"/>
  <c r="AK159" i="47"/>
  <c r="AJ159" i="47"/>
  <c r="AI159" i="47"/>
  <c r="AI151" i="47" s="1"/>
  <c r="AH159" i="47"/>
  <c r="BK159" i="47" s="1"/>
  <c r="AG159" i="47"/>
  <c r="AF159" i="47"/>
  <c r="AE159" i="47"/>
  <c r="AD159" i="47"/>
  <c r="S159" i="47"/>
  <c r="Q159" i="47"/>
  <c r="P159" i="47"/>
  <c r="BM158" i="47"/>
  <c r="BN158" i="47" s="1"/>
  <c r="BK158" i="47"/>
  <c r="BL158" i="47" s="1"/>
  <c r="BJ158" i="47"/>
  <c r="BI158" i="47"/>
  <c r="BA158" i="47"/>
  <c r="AZ158" i="47"/>
  <c r="BH158" i="47" s="1"/>
  <c r="AY158" i="47"/>
  <c r="BG158" i="47" s="1"/>
  <c r="AX158" i="47"/>
  <c r="BF158" i="47" s="1"/>
  <c r="AW158" i="47"/>
  <c r="AV158" i="47"/>
  <c r="AU158" i="47"/>
  <c r="AT158" i="47"/>
  <c r="AO158" i="47"/>
  <c r="AN158" i="47"/>
  <c r="AM158" i="47"/>
  <c r="AL158" i="47"/>
  <c r="W158" i="47"/>
  <c r="V158" i="47"/>
  <c r="X158" i="47" s="1"/>
  <c r="S158" i="47"/>
  <c r="R158" i="47"/>
  <c r="BN157" i="47"/>
  <c r="BM157" i="47"/>
  <c r="BK157" i="47"/>
  <c r="BL157" i="47" s="1"/>
  <c r="BJ157" i="47"/>
  <c r="BA157" i="47"/>
  <c r="BI157" i="47" s="1"/>
  <c r="AZ157" i="47"/>
  <c r="BH157" i="47" s="1"/>
  <c r="AY157" i="47"/>
  <c r="BG157" i="47" s="1"/>
  <c r="AX157" i="47"/>
  <c r="BF157" i="47" s="1"/>
  <c r="AW157" i="47"/>
  <c r="AV157" i="47"/>
  <c r="AU157" i="47"/>
  <c r="AT157" i="47"/>
  <c r="AO157" i="47"/>
  <c r="AN157" i="47"/>
  <c r="AM157" i="47"/>
  <c r="AL157" i="47"/>
  <c r="W157" i="47"/>
  <c r="V157" i="47"/>
  <c r="X157" i="47" s="1"/>
  <c r="S157" i="47"/>
  <c r="R157" i="47"/>
  <c r="BN156" i="47"/>
  <c r="BM156" i="47"/>
  <c r="BL156" i="47"/>
  <c r="BK156" i="47"/>
  <c r="BJ156" i="47"/>
  <c r="BI156" i="47"/>
  <c r="BA156" i="47"/>
  <c r="AZ156" i="47"/>
  <c r="BH156" i="47" s="1"/>
  <c r="AY156" i="47"/>
  <c r="BG156" i="47" s="1"/>
  <c r="AX156" i="47"/>
  <c r="BF156" i="47" s="1"/>
  <c r="AW156" i="47"/>
  <c r="AV156" i="47"/>
  <c r="AU156" i="47"/>
  <c r="AT156" i="47"/>
  <c r="AO156" i="47"/>
  <c r="AN156" i="47"/>
  <c r="AM156" i="47"/>
  <c r="AL156" i="47"/>
  <c r="W156" i="47"/>
  <c r="X156" i="47" s="1"/>
  <c r="V156" i="47"/>
  <c r="S156" i="47"/>
  <c r="R156" i="47"/>
  <c r="BN155" i="47"/>
  <c r="BM155" i="47"/>
  <c r="BK155" i="47"/>
  <c r="BL155" i="47" s="1"/>
  <c r="BJ155" i="47"/>
  <c r="BF155" i="47"/>
  <c r="BA155" i="47"/>
  <c r="AZ155" i="47"/>
  <c r="BH155" i="47" s="1"/>
  <c r="AY155" i="47"/>
  <c r="BG155" i="47" s="1"/>
  <c r="AX155" i="47"/>
  <c r="AW155" i="47"/>
  <c r="AV155" i="47"/>
  <c r="AU155" i="47"/>
  <c r="AT155" i="47"/>
  <c r="AO155" i="47"/>
  <c r="AN155" i="47"/>
  <c r="AM155" i="47"/>
  <c r="AL155" i="47"/>
  <c r="X155" i="47"/>
  <c r="W155" i="47"/>
  <c r="V155" i="47"/>
  <c r="S155" i="47"/>
  <c r="R155" i="47"/>
  <c r="Q155" i="47"/>
  <c r="P155" i="47"/>
  <c r="BK154" i="47"/>
  <c r="BJ154" i="47"/>
  <c r="BL154" i="47" s="1"/>
  <c r="BI154" i="47"/>
  <c r="BH154" i="47"/>
  <c r="BA154" i="47"/>
  <c r="AZ154" i="47"/>
  <c r="AX154" i="47"/>
  <c r="BF154" i="47" s="1"/>
  <c r="AW154" i="47"/>
  <c r="AV154" i="47"/>
  <c r="AT154" i="47"/>
  <c r="AQ154" i="47"/>
  <c r="AO154" i="47"/>
  <c r="AN154" i="47"/>
  <c r="AM154" i="47"/>
  <c r="AL154" i="47"/>
  <c r="AI154" i="47"/>
  <c r="AE154" i="47"/>
  <c r="X154" i="47"/>
  <c r="W154" i="47"/>
  <c r="V154" i="47"/>
  <c r="S154" i="47"/>
  <c r="R154" i="47"/>
  <c r="Q154" i="47"/>
  <c r="BL153" i="47"/>
  <c r="BI153" i="47"/>
  <c r="BH153" i="47"/>
  <c r="BA153" i="47"/>
  <c r="AZ153" i="47"/>
  <c r="AX153" i="47"/>
  <c r="AW153" i="47"/>
  <c r="AV153" i="47"/>
  <c r="AT153" i="47"/>
  <c r="AQ153" i="47"/>
  <c r="AO153" i="47"/>
  <c r="AN153" i="47"/>
  <c r="AM153" i="47"/>
  <c r="AL153" i="47"/>
  <c r="AI153" i="47"/>
  <c r="BK153" i="47" s="1"/>
  <c r="AE153" i="47"/>
  <c r="BJ153" i="47" s="1"/>
  <c r="W153" i="47"/>
  <c r="V153" i="47"/>
  <c r="S153" i="47"/>
  <c r="R153" i="47"/>
  <c r="Q153" i="47"/>
  <c r="P153" i="47"/>
  <c r="BE152" i="47"/>
  <c r="BD152" i="47"/>
  <c r="BC152" i="47"/>
  <c r="BB152" i="47"/>
  <c r="AZ152" i="47"/>
  <c r="AW152" i="47"/>
  <c r="AS152" i="47"/>
  <c r="AR152" i="47"/>
  <c r="AP152" i="47"/>
  <c r="AO152" i="47"/>
  <c r="AN152" i="47"/>
  <c r="AM152" i="47"/>
  <c r="AK152" i="47"/>
  <c r="AJ152" i="47"/>
  <c r="AI152" i="47"/>
  <c r="BK152" i="47" s="1"/>
  <c r="AH152" i="47"/>
  <c r="AG152" i="47"/>
  <c r="AF152" i="47"/>
  <c r="AE152" i="47"/>
  <c r="AD152" i="47"/>
  <c r="S152" i="47"/>
  <c r="BE151" i="47"/>
  <c r="BC151" i="47"/>
  <c r="BB151" i="47"/>
  <c r="AV151" i="47"/>
  <c r="AS151" i="47"/>
  <c r="AR151" i="47"/>
  <c r="AJ151" i="47"/>
  <c r="AH151" i="47"/>
  <c r="AG151" i="47"/>
  <c r="AF151" i="47"/>
  <c r="AE151" i="47"/>
  <c r="BC150" i="47"/>
  <c r="AA150" i="47"/>
  <c r="AB150" i="47" s="1"/>
  <c r="AC150" i="47" s="1"/>
  <c r="Z150" i="47"/>
  <c r="BK149" i="47"/>
  <c r="BL149" i="47" s="1"/>
  <c r="BJ149" i="47"/>
  <c r="BH149" i="47"/>
  <c r="BG149" i="47"/>
  <c r="BA149" i="47"/>
  <c r="BI149" i="47" s="1"/>
  <c r="AZ149" i="47"/>
  <c r="AY149" i="47"/>
  <c r="AW149" i="47"/>
  <c r="AV149" i="47"/>
  <c r="AU149" i="47"/>
  <c r="AP149" i="47"/>
  <c r="AO149" i="47"/>
  <c r="AN149" i="47"/>
  <c r="AM149" i="47"/>
  <c r="AL149" i="47"/>
  <c r="AH149" i="47"/>
  <c r="AD149" i="47"/>
  <c r="W149" i="47"/>
  <c r="V149" i="47"/>
  <c r="X149" i="47" s="1"/>
  <c r="S149" i="47"/>
  <c r="R149" i="47"/>
  <c r="Q149" i="47"/>
  <c r="P149" i="47"/>
  <c r="BA148" i="47"/>
  <c r="BI148" i="47" s="1"/>
  <c r="AZ148" i="47"/>
  <c r="BH148" i="47" s="1"/>
  <c r="AY148" i="47"/>
  <c r="BG148" i="47" s="1"/>
  <c r="AW148" i="47"/>
  <c r="AV148" i="47"/>
  <c r="AU148" i="47"/>
  <c r="AP148" i="47"/>
  <c r="AO148" i="47"/>
  <c r="AN148" i="47"/>
  <c r="AM148" i="47"/>
  <c r="AH148" i="47"/>
  <c r="AD148" i="47"/>
  <c r="BJ148" i="47" s="1"/>
  <c r="X148" i="47"/>
  <c r="W148" i="47"/>
  <c r="V148" i="47"/>
  <c r="S148" i="47"/>
  <c r="R148" i="47"/>
  <c r="Q148" i="47"/>
  <c r="P148" i="47"/>
  <c r="BK147" i="47"/>
  <c r="BL147" i="47" s="1"/>
  <c r="BJ147" i="47"/>
  <c r="BI147" i="47"/>
  <c r="BH147" i="47"/>
  <c r="BG147" i="47"/>
  <c r="BA147" i="47"/>
  <c r="AZ147" i="47"/>
  <c r="AY147" i="47"/>
  <c r="AW147" i="47"/>
  <c r="AV147" i="47"/>
  <c r="AU147" i="47"/>
  <c r="AP147" i="47"/>
  <c r="BM147" i="47" s="1"/>
  <c r="BN147" i="47" s="1"/>
  <c r="AO147" i="47"/>
  <c r="AN147" i="47"/>
  <c r="AM147" i="47"/>
  <c r="AH147" i="47"/>
  <c r="AD147" i="47"/>
  <c r="W147" i="47"/>
  <c r="X147" i="47" s="1"/>
  <c r="V147" i="47"/>
  <c r="S147" i="47"/>
  <c r="R147" i="47"/>
  <c r="Q147" i="47"/>
  <c r="P147" i="47"/>
  <c r="BN146" i="47"/>
  <c r="BK146" i="47"/>
  <c r="BJ146" i="47"/>
  <c r="BI146" i="47"/>
  <c r="BH146" i="47"/>
  <c r="BG146" i="47"/>
  <c r="BA146" i="47"/>
  <c r="AZ146" i="47"/>
  <c r="AY146" i="47"/>
  <c r="AX146" i="47"/>
  <c r="BF146" i="47" s="1"/>
  <c r="AW146" i="47"/>
  <c r="AV146" i="47"/>
  <c r="AU146" i="47"/>
  <c r="AP146" i="47"/>
  <c r="BM146" i="47" s="1"/>
  <c r="AO146" i="47"/>
  <c r="AN146" i="47"/>
  <c r="AM146" i="47"/>
  <c r="AH146" i="47"/>
  <c r="AL146" i="47" s="1"/>
  <c r="AD146" i="47"/>
  <c r="X146" i="47"/>
  <c r="W146" i="47"/>
  <c r="V146" i="47"/>
  <c r="S146" i="47"/>
  <c r="R146" i="47"/>
  <c r="Q146" i="47"/>
  <c r="P146" i="47"/>
  <c r="BM145" i="47"/>
  <c r="BA145" i="47"/>
  <c r="BI145" i="47" s="1"/>
  <c r="AZ145" i="47"/>
  <c r="BH145" i="47" s="1"/>
  <c r="AY145" i="47"/>
  <c r="BG145" i="47" s="1"/>
  <c r="AX145" i="47"/>
  <c r="BF145" i="47" s="1"/>
  <c r="AW145" i="47"/>
  <c r="AV145" i="47"/>
  <c r="AQ145" i="47"/>
  <c r="AP145" i="47"/>
  <c r="AO145" i="47"/>
  <c r="AN145" i="47"/>
  <c r="AI145" i="47"/>
  <c r="AH145" i="47"/>
  <c r="AE145" i="47"/>
  <c r="AD145" i="47"/>
  <c r="X145" i="47"/>
  <c r="W145" i="47"/>
  <c r="V145" i="47"/>
  <c r="S145" i="47"/>
  <c r="R145" i="47"/>
  <c r="Q145" i="47"/>
  <c r="P145" i="47"/>
  <c r="BM144" i="47"/>
  <c r="BJ144" i="47"/>
  <c r="BI144" i="47"/>
  <c r="BA144" i="47"/>
  <c r="AZ144" i="47"/>
  <c r="BH144" i="47" s="1"/>
  <c r="AW144" i="47"/>
  <c r="AV144" i="47"/>
  <c r="AQ144" i="47"/>
  <c r="AU144" i="47" s="1"/>
  <c r="AP144" i="47"/>
  <c r="AT144" i="47" s="1"/>
  <c r="AO144" i="47"/>
  <c r="AN144" i="47"/>
  <c r="AI144" i="47"/>
  <c r="AH144" i="47"/>
  <c r="AE144" i="47"/>
  <c r="AD144" i="47"/>
  <c r="W144" i="47"/>
  <c r="V144" i="47"/>
  <c r="S144" i="47"/>
  <c r="R144" i="47"/>
  <c r="Q144" i="47"/>
  <c r="P144" i="47"/>
  <c r="BK143" i="47"/>
  <c r="BL143" i="47" s="1"/>
  <c r="BJ143" i="47"/>
  <c r="BH143" i="47"/>
  <c r="BF143" i="47"/>
  <c r="BA143" i="47"/>
  <c r="BI143" i="47" s="1"/>
  <c r="AZ143" i="47"/>
  <c r="AW143" i="47"/>
  <c r="AV143" i="47"/>
  <c r="AT143" i="47"/>
  <c r="AQ143" i="47"/>
  <c r="AU143" i="47" s="1"/>
  <c r="AP143" i="47"/>
  <c r="AX143" i="47" s="1"/>
  <c r="AO143" i="47"/>
  <c r="AN143" i="47"/>
  <c r="AM143" i="47"/>
  <c r="AI143" i="47"/>
  <c r="AH143" i="47"/>
  <c r="AE143" i="47"/>
  <c r="AD143" i="47"/>
  <c r="W143" i="47"/>
  <c r="X143" i="47" s="1"/>
  <c r="V143" i="47"/>
  <c r="S143" i="47"/>
  <c r="R143" i="47"/>
  <c r="Q143" i="47"/>
  <c r="P143" i="47"/>
  <c r="BM142" i="47"/>
  <c r="BA142" i="47"/>
  <c r="BI142" i="47" s="1"/>
  <c r="AZ142" i="47"/>
  <c r="BH142" i="47" s="1"/>
  <c r="AY142" i="47"/>
  <c r="BG142" i="47" s="1"/>
  <c r="AW142" i="47"/>
  <c r="AV142" i="47"/>
  <c r="AQ142" i="47"/>
  <c r="AP142" i="47"/>
  <c r="AT142" i="47" s="1"/>
  <c r="AO142" i="47"/>
  <c r="AN142" i="47"/>
  <c r="AI142" i="47"/>
  <c r="BK142" i="47" s="1"/>
  <c r="AH142" i="47"/>
  <c r="AX142" i="47" s="1"/>
  <c r="BF142" i="47" s="1"/>
  <c r="AE142" i="47"/>
  <c r="AU142" i="47" s="1"/>
  <c r="AD142" i="47"/>
  <c r="X142" i="47"/>
  <c r="W142" i="47"/>
  <c r="V142" i="47"/>
  <c r="S142" i="47"/>
  <c r="R142" i="47"/>
  <c r="Q142" i="47"/>
  <c r="P142" i="47"/>
  <c r="BJ141" i="47"/>
  <c r="BI141" i="47"/>
  <c r="BA141" i="47"/>
  <c r="AZ141" i="47"/>
  <c r="BH141" i="47" s="1"/>
  <c r="AY141" i="47"/>
  <c r="BG141" i="47" s="1"/>
  <c r="AW141" i="47"/>
  <c r="AV141" i="47"/>
  <c r="AQ141" i="47"/>
  <c r="AU141" i="47" s="1"/>
  <c r="AP141" i="47"/>
  <c r="AO141" i="47"/>
  <c r="AN141" i="47"/>
  <c r="AI141" i="47"/>
  <c r="AH141" i="47"/>
  <c r="BK141" i="47" s="1"/>
  <c r="BL141" i="47" s="1"/>
  <c r="AE141" i="47"/>
  <c r="AD141" i="47"/>
  <c r="W141" i="47"/>
  <c r="X141" i="47" s="1"/>
  <c r="V141" i="47"/>
  <c r="S141" i="47"/>
  <c r="R141" i="47"/>
  <c r="Q141" i="47"/>
  <c r="P141" i="47"/>
  <c r="BK140" i="47"/>
  <c r="BL140" i="47" s="1"/>
  <c r="BI140" i="47"/>
  <c r="BH140" i="47"/>
  <c r="BG140" i="47"/>
  <c r="BA140" i="47"/>
  <c r="AZ140" i="47"/>
  <c r="AW140" i="47"/>
  <c r="AV140" i="47"/>
  <c r="AQ140" i="47"/>
  <c r="AY140" i="47" s="1"/>
  <c r="AP140" i="47"/>
  <c r="AO140" i="47"/>
  <c r="AN140" i="47"/>
  <c r="AM140" i="47"/>
  <c r="AL140" i="47"/>
  <c r="AI140" i="47"/>
  <c r="AH140" i="47"/>
  <c r="AE140" i="47"/>
  <c r="AD140" i="47"/>
  <c r="BJ140" i="47" s="1"/>
  <c r="W140" i="47"/>
  <c r="V140" i="47"/>
  <c r="X140" i="47" s="1"/>
  <c r="S140" i="47"/>
  <c r="R140" i="47"/>
  <c r="Q140" i="47"/>
  <c r="P140" i="47"/>
  <c r="BJ139" i="47"/>
  <c r="BI139" i="47"/>
  <c r="BA139" i="47"/>
  <c r="AZ139" i="47"/>
  <c r="BH139" i="47" s="1"/>
  <c r="AX139" i="47"/>
  <c r="BF139" i="47" s="1"/>
  <c r="AW139" i="47"/>
  <c r="AV139" i="47"/>
  <c r="AT139" i="47"/>
  <c r="AQ139" i="47"/>
  <c r="AP139" i="47"/>
  <c r="AO139" i="47"/>
  <c r="AN139" i="47"/>
  <c r="AM139" i="47"/>
  <c r="AI139" i="47"/>
  <c r="AH139" i="47"/>
  <c r="BK139" i="47" s="1"/>
  <c r="AE139" i="47"/>
  <c r="AD139" i="47"/>
  <c r="W139" i="47"/>
  <c r="V139" i="47"/>
  <c r="X139" i="47" s="1"/>
  <c r="S139" i="47"/>
  <c r="R139" i="47"/>
  <c r="Q139" i="47"/>
  <c r="P139" i="47"/>
  <c r="BM138" i="47"/>
  <c r="BA138" i="47"/>
  <c r="BI138" i="47" s="1"/>
  <c r="AZ138" i="47"/>
  <c r="BH138" i="47" s="1"/>
  <c r="AX138" i="47"/>
  <c r="BF138" i="47" s="1"/>
  <c r="AW138" i="47"/>
  <c r="AV138" i="47"/>
  <c r="AU138" i="47"/>
  <c r="AT138" i="47"/>
  <c r="AQ138" i="47"/>
  <c r="AP138" i="47"/>
  <c r="AO138" i="47"/>
  <c r="AN138" i="47"/>
  <c r="AI138" i="47"/>
  <c r="AH138" i="47"/>
  <c r="AE138" i="47"/>
  <c r="AD138" i="47"/>
  <c r="BJ138" i="47" s="1"/>
  <c r="BN138" i="47" s="1"/>
  <c r="W138" i="47"/>
  <c r="X138" i="47" s="1"/>
  <c r="V138" i="47"/>
  <c r="S138" i="47"/>
  <c r="R138" i="47"/>
  <c r="Q138" i="47"/>
  <c r="P138" i="47"/>
  <c r="BK137" i="47"/>
  <c r="BI137" i="47"/>
  <c r="BH137" i="47"/>
  <c r="BA137" i="47"/>
  <c r="AZ137" i="47"/>
  <c r="AW137" i="47"/>
  <c r="AV137" i="47"/>
  <c r="AQ137" i="47"/>
  <c r="AP137" i="47"/>
  <c r="AO137" i="47"/>
  <c r="AN137" i="47"/>
  <c r="AI137" i="47"/>
  <c r="AH137" i="47"/>
  <c r="AE137" i="47"/>
  <c r="AD137" i="47"/>
  <c r="BJ137" i="47" s="1"/>
  <c r="W137" i="47"/>
  <c r="X137" i="47" s="1"/>
  <c r="V137" i="47"/>
  <c r="S137" i="47"/>
  <c r="R137" i="47"/>
  <c r="Q137" i="47"/>
  <c r="P137" i="47"/>
  <c r="BJ136" i="47"/>
  <c r="BH136" i="47"/>
  <c r="BA136" i="47"/>
  <c r="AZ136" i="47"/>
  <c r="AW136" i="47"/>
  <c r="AV136" i="47"/>
  <c r="AU136" i="47"/>
  <c r="AT136" i="47"/>
  <c r="AQ136" i="47"/>
  <c r="AP136" i="47"/>
  <c r="BM136" i="47" s="1"/>
  <c r="BN136" i="47" s="1"/>
  <c r="AO136" i="47"/>
  <c r="AN136" i="47"/>
  <c r="AM136" i="47"/>
  <c r="AL136" i="47"/>
  <c r="AI136" i="47"/>
  <c r="AH136" i="47"/>
  <c r="AE136" i="47"/>
  <c r="AD136" i="47"/>
  <c r="W136" i="47"/>
  <c r="X136" i="47" s="1"/>
  <c r="V136" i="47"/>
  <c r="S136" i="47"/>
  <c r="R136" i="47"/>
  <c r="Q136" i="47"/>
  <c r="P136" i="47"/>
  <c r="BE135" i="47"/>
  <c r="BD135" i="47"/>
  <c r="BC135" i="47"/>
  <c r="BB135" i="47"/>
  <c r="AS135" i="47"/>
  <c r="AR135" i="47"/>
  <c r="AK135" i="47"/>
  <c r="AJ135" i="47"/>
  <c r="AG135" i="47"/>
  <c r="AO135" i="47" s="1"/>
  <c r="AF135" i="47"/>
  <c r="AD135" i="47"/>
  <c r="BC134" i="47"/>
  <c r="BB134" i="47"/>
  <c r="AK134" i="47"/>
  <c r="AJ134" i="47"/>
  <c r="AG134" i="47"/>
  <c r="AF134" i="47"/>
  <c r="BM133" i="47"/>
  <c r="BN133" i="47" s="1"/>
  <c r="BK133" i="47"/>
  <c r="BJ133" i="47"/>
  <c r="BH133" i="47"/>
  <c r="BG133" i="47"/>
  <c r="BF133" i="47"/>
  <c r="BA133" i="47"/>
  <c r="BI133" i="47" s="1"/>
  <c r="AZ133" i="47"/>
  <c r="AY133" i="47"/>
  <c r="AX133" i="47"/>
  <c r="AW133" i="47"/>
  <c r="AV133" i="47"/>
  <c r="AU133" i="47"/>
  <c r="AT133" i="47"/>
  <c r="AO133" i="47"/>
  <c r="AN133" i="47"/>
  <c r="AM133" i="47"/>
  <c r="AL133" i="47"/>
  <c r="X133" i="47"/>
  <c r="W133" i="47"/>
  <c r="V133" i="47"/>
  <c r="S133" i="47"/>
  <c r="R133" i="47"/>
  <c r="Q133" i="47"/>
  <c r="BK132" i="47"/>
  <c r="BL132" i="47" s="1"/>
  <c r="BJ132" i="47"/>
  <c r="BI132" i="47"/>
  <c r="BH132" i="47"/>
  <c r="BG132" i="47"/>
  <c r="BA132" i="47"/>
  <c r="AZ132" i="47"/>
  <c r="AY132" i="47"/>
  <c r="AX132" i="47"/>
  <c r="BF132" i="47" s="1"/>
  <c r="AW132" i="47"/>
  <c r="AV132" i="47"/>
  <c r="AU132" i="47"/>
  <c r="AP132" i="47"/>
  <c r="AO132" i="47"/>
  <c r="AN132" i="47"/>
  <c r="AM132" i="47"/>
  <c r="AH132" i="47"/>
  <c r="AL132" i="47" s="1"/>
  <c r="AD132" i="47"/>
  <c r="W132" i="47"/>
  <c r="X132" i="47" s="1"/>
  <c r="X130" i="47" s="1"/>
  <c r="V132" i="47"/>
  <c r="S132" i="47"/>
  <c r="R132" i="47"/>
  <c r="P132" i="47"/>
  <c r="BM131" i="47"/>
  <c r="BA131" i="47"/>
  <c r="BI131" i="47" s="1"/>
  <c r="AZ131" i="47"/>
  <c r="AY131" i="47"/>
  <c r="AX131" i="47"/>
  <c r="AW131" i="47"/>
  <c r="AV131" i="47"/>
  <c r="AU131" i="47"/>
  <c r="AP131" i="47"/>
  <c r="AO131" i="47"/>
  <c r="AN131" i="47"/>
  <c r="AM131" i="47"/>
  <c r="AH131" i="47"/>
  <c r="AD131" i="47"/>
  <c r="BJ131" i="47" s="1"/>
  <c r="BN131" i="47" s="1"/>
  <c r="W131" i="47"/>
  <c r="X131" i="47" s="1"/>
  <c r="V131" i="47"/>
  <c r="S131" i="47"/>
  <c r="R131" i="47"/>
  <c r="Q131" i="47"/>
  <c r="P131" i="47"/>
  <c r="BE130" i="47"/>
  <c r="BD130" i="47"/>
  <c r="BC130" i="47"/>
  <c r="BB130" i="47"/>
  <c r="BB118" i="47" s="1"/>
  <c r="AW130" i="47"/>
  <c r="AV130" i="47"/>
  <c r="AS130" i="47"/>
  <c r="AR130" i="47"/>
  <c r="AQ130" i="47"/>
  <c r="AU130" i="47" s="1"/>
  <c r="AP130" i="47"/>
  <c r="AO130" i="47"/>
  <c r="AN130" i="47"/>
  <c r="AM130" i="47"/>
  <c r="AK130" i="47"/>
  <c r="AJ130" i="47"/>
  <c r="AI130" i="47"/>
  <c r="AG130" i="47"/>
  <c r="AF130" i="47"/>
  <c r="AE130" i="47"/>
  <c r="S130" i="47"/>
  <c r="R130" i="47"/>
  <c r="Q130" i="47"/>
  <c r="BH129" i="47"/>
  <c r="BG129" i="47"/>
  <c r="BA129" i="47"/>
  <c r="BI129" i="47" s="1"/>
  <c r="AZ129" i="47"/>
  <c r="AY129" i="47"/>
  <c r="AW129" i="47"/>
  <c r="AV129" i="47"/>
  <c r="AU129" i="47"/>
  <c r="AP129" i="47"/>
  <c r="AO129" i="47"/>
  <c r="AN129" i="47"/>
  <c r="AM129" i="47"/>
  <c r="AH129" i="47"/>
  <c r="AD129" i="47"/>
  <c r="BJ129" i="47" s="1"/>
  <c r="W129" i="47"/>
  <c r="V129" i="47"/>
  <c r="X129" i="47" s="1"/>
  <c r="S129" i="47"/>
  <c r="R129" i="47"/>
  <c r="Q129" i="47"/>
  <c r="P129" i="47"/>
  <c r="BK128" i="47"/>
  <c r="BL128" i="47" s="1"/>
  <c r="BJ128" i="47"/>
  <c r="BI128" i="47"/>
  <c r="BH128" i="47"/>
  <c r="BG128" i="47"/>
  <c r="BA128" i="47"/>
  <c r="AZ128" i="47"/>
  <c r="AY128" i="47"/>
  <c r="AW128" i="47"/>
  <c r="AV128" i="47"/>
  <c r="AU128" i="47"/>
  <c r="AP128" i="47"/>
  <c r="AT128" i="47" s="1"/>
  <c r="AO128" i="47"/>
  <c r="AN128" i="47"/>
  <c r="AM128" i="47"/>
  <c r="AH128" i="47"/>
  <c r="AL128" i="47" s="1"/>
  <c r="AD128" i="47"/>
  <c r="W128" i="47"/>
  <c r="V128" i="47"/>
  <c r="S128" i="47"/>
  <c r="R128" i="47"/>
  <c r="Q128" i="47"/>
  <c r="Q126" i="47" s="1"/>
  <c r="P128" i="47"/>
  <c r="BN127" i="47"/>
  <c r="BM127" i="47"/>
  <c r="BK127" i="47"/>
  <c r="BJ127" i="47"/>
  <c r="BA127" i="47"/>
  <c r="AZ127" i="47"/>
  <c r="AY127" i="47"/>
  <c r="AX127" i="47"/>
  <c r="BF127" i="47" s="1"/>
  <c r="AW127" i="47"/>
  <c r="AV127" i="47"/>
  <c r="AU127" i="47"/>
  <c r="AT127" i="47"/>
  <c r="AO127" i="47"/>
  <c r="AN127" i="47"/>
  <c r="AM127" i="47"/>
  <c r="AL127" i="47"/>
  <c r="W127" i="47"/>
  <c r="V127" i="47"/>
  <c r="S127" i="47"/>
  <c r="S126" i="47" s="1"/>
  <c r="R127" i="47"/>
  <c r="R126" i="47" s="1"/>
  <c r="Q127" i="47"/>
  <c r="BE126" i="47"/>
  <c r="BD126" i="47"/>
  <c r="BC126" i="47"/>
  <c r="BB126" i="47"/>
  <c r="AW126" i="47"/>
  <c r="AV126" i="47"/>
  <c r="AU126" i="47"/>
  <c r="AS126" i="47"/>
  <c r="AR126" i="47"/>
  <c r="AQ126" i="47"/>
  <c r="AK126" i="47"/>
  <c r="AJ126" i="47"/>
  <c r="AI126" i="47"/>
  <c r="AM126" i="47" s="1"/>
  <c r="AH126" i="47"/>
  <c r="AG126" i="47"/>
  <c r="AF126" i="47"/>
  <c r="AF118" i="47" s="1"/>
  <c r="AF111" i="47" s="1"/>
  <c r="AE126" i="47"/>
  <c r="P126" i="47"/>
  <c r="BM125" i="47"/>
  <c r="BA125" i="47"/>
  <c r="BI125" i="47" s="1"/>
  <c r="AZ125" i="47"/>
  <c r="AY125" i="47"/>
  <c r="BG125" i="47" s="1"/>
  <c r="AW125" i="47"/>
  <c r="AV125" i="47"/>
  <c r="AU125" i="47"/>
  <c r="AT125" i="47"/>
  <c r="AP125" i="47"/>
  <c r="AO125" i="47"/>
  <c r="AN125" i="47"/>
  <c r="AM125" i="47"/>
  <c r="AH125" i="47"/>
  <c r="BK125" i="47" s="1"/>
  <c r="AD125" i="47"/>
  <c r="W125" i="47"/>
  <c r="X125" i="47" s="1"/>
  <c r="X124" i="47" s="1"/>
  <c r="V125" i="47"/>
  <c r="S125" i="47"/>
  <c r="S124" i="47" s="1"/>
  <c r="R125" i="47"/>
  <c r="R124" i="47" s="1"/>
  <c r="Q125" i="47"/>
  <c r="P125" i="47"/>
  <c r="BI124" i="47"/>
  <c r="BE124" i="47"/>
  <c r="BD124" i="47"/>
  <c r="BC124" i="47"/>
  <c r="BB124" i="47"/>
  <c r="BA124" i="47"/>
  <c r="AY124" i="47"/>
  <c r="AW124" i="47"/>
  <c r="AV124" i="47"/>
  <c r="AU124" i="47"/>
  <c r="AS124" i="47"/>
  <c r="AR124" i="47"/>
  <c r="AQ124" i="47"/>
  <c r="BM124" i="47" s="1"/>
  <c r="AP124" i="47"/>
  <c r="AK124" i="47"/>
  <c r="AO124" i="47" s="1"/>
  <c r="AJ124" i="47"/>
  <c r="AN124" i="47" s="1"/>
  <c r="AI124" i="47"/>
  <c r="AM124" i="47" s="1"/>
  <c r="AG124" i="47"/>
  <c r="AF124" i="47"/>
  <c r="AE124" i="47"/>
  <c r="Q124" i="47"/>
  <c r="P124" i="47"/>
  <c r="BI123" i="47"/>
  <c r="BH123" i="47"/>
  <c r="BA123" i="47"/>
  <c r="AZ123" i="47"/>
  <c r="AW123" i="47"/>
  <c r="AV123" i="47"/>
  <c r="AQ123" i="47"/>
  <c r="AU123" i="47" s="1"/>
  <c r="AP123" i="47"/>
  <c r="AO123" i="47"/>
  <c r="AN123" i="47"/>
  <c r="AI123" i="47"/>
  <c r="AH123" i="47"/>
  <c r="BK123" i="47" s="1"/>
  <c r="AE123" i="47"/>
  <c r="AD123" i="47"/>
  <c r="W123" i="47"/>
  <c r="V123" i="47"/>
  <c r="X123" i="47" s="1"/>
  <c r="Q123" i="47"/>
  <c r="P123" i="47"/>
  <c r="P121" i="47" s="1"/>
  <c r="BK122" i="47"/>
  <c r="BL122" i="47" s="1"/>
  <c r="BJ122" i="47"/>
  <c r="BH122" i="47"/>
  <c r="BA122" i="47"/>
  <c r="BA121" i="47" s="1"/>
  <c r="AZ122" i="47"/>
  <c r="AX122" i="47"/>
  <c r="BF122" i="47" s="1"/>
  <c r="AW122" i="47"/>
  <c r="AV122" i="47"/>
  <c r="AT122" i="47"/>
  <c r="AQ122" i="47"/>
  <c r="AO122" i="47"/>
  <c r="AN122" i="47"/>
  <c r="AL122" i="47"/>
  <c r="AI122" i="47"/>
  <c r="AE122" i="47"/>
  <c r="W122" i="47"/>
  <c r="X122" i="47" s="1"/>
  <c r="X121" i="47" s="1"/>
  <c r="V122" i="47"/>
  <c r="S122" i="47"/>
  <c r="S121" i="47" s="1"/>
  <c r="R122" i="47"/>
  <c r="Q122" i="47"/>
  <c r="BI121" i="47"/>
  <c r="BE121" i="47"/>
  <c r="BD121" i="47"/>
  <c r="BC121" i="47"/>
  <c r="BB121" i="47"/>
  <c r="AW121" i="47"/>
  <c r="AV121" i="47"/>
  <c r="AS121" i="47"/>
  <c r="AR121" i="47"/>
  <c r="AO121" i="47"/>
  <c r="AK121" i="47"/>
  <c r="AJ121" i="47"/>
  <c r="AG121" i="47"/>
  <c r="AF121" i="47"/>
  <c r="R121" i="47"/>
  <c r="BM120" i="47"/>
  <c r="BK120" i="47"/>
  <c r="BJ120" i="47"/>
  <c r="BA120" i="47"/>
  <c r="BA119" i="47" s="1"/>
  <c r="BI119" i="47" s="1"/>
  <c r="AZ120" i="47"/>
  <c r="BH120" i="47" s="1"/>
  <c r="AY120" i="47"/>
  <c r="BG120" i="47" s="1"/>
  <c r="AW120" i="47"/>
  <c r="AV120" i="47"/>
  <c r="AU120" i="47"/>
  <c r="AP120" i="47"/>
  <c r="AP119" i="47" s="1"/>
  <c r="AO120" i="47"/>
  <c r="AN120" i="47"/>
  <c r="AM120" i="47"/>
  <c r="AH120" i="47"/>
  <c r="AD120" i="47"/>
  <c r="AD119" i="47" s="1"/>
  <c r="W120" i="47"/>
  <c r="X120" i="47" s="1"/>
  <c r="X119" i="47" s="1"/>
  <c r="V120" i="47"/>
  <c r="S120" i="47"/>
  <c r="S119" i="47" s="1"/>
  <c r="R120" i="47"/>
  <c r="R119" i="47" s="1"/>
  <c r="Q120" i="47"/>
  <c r="Q119" i="47" s="1"/>
  <c r="P120" i="47"/>
  <c r="BK119" i="47"/>
  <c r="BL119" i="47" s="1"/>
  <c r="BJ119" i="47"/>
  <c r="BE119" i="47"/>
  <c r="BE118" i="47" s="1"/>
  <c r="BD119" i="47"/>
  <c r="BD118" i="47" s="1"/>
  <c r="BC119" i="47"/>
  <c r="BB119" i="47"/>
  <c r="AZ119" i="47"/>
  <c r="AY119" i="47"/>
  <c r="AV119" i="47"/>
  <c r="AU119" i="47"/>
  <c r="AS119" i="47"/>
  <c r="AR119" i="47"/>
  <c r="AQ119" i="47"/>
  <c r="AM119" i="47"/>
  <c r="AL119" i="47"/>
  <c r="AK119" i="47"/>
  <c r="AJ119" i="47"/>
  <c r="AI119" i="47"/>
  <c r="AH119" i="47"/>
  <c r="AG119" i="47"/>
  <c r="AW119" i="47" s="1"/>
  <c r="AF119" i="47"/>
  <c r="AE119" i="47"/>
  <c r="P119" i="47"/>
  <c r="AS118" i="47"/>
  <c r="AR118" i="47"/>
  <c r="AG118" i="47"/>
  <c r="BM117" i="47"/>
  <c r="BK117" i="47"/>
  <c r="BJ117" i="47"/>
  <c r="BN117" i="47" s="1"/>
  <c r="BI117" i="47"/>
  <c r="BH117" i="47"/>
  <c r="BG117" i="47"/>
  <c r="BF117" i="47"/>
  <c r="BA117" i="47"/>
  <c r="AZ117" i="47"/>
  <c r="AY117" i="47"/>
  <c r="AX117" i="47"/>
  <c r="AW117" i="47"/>
  <c r="AV117" i="47"/>
  <c r="AU117" i="47"/>
  <c r="AT117" i="47"/>
  <c r="AO117" i="47"/>
  <c r="AN117" i="47"/>
  <c r="AM117" i="47"/>
  <c r="AL117" i="47"/>
  <c r="W117" i="47"/>
  <c r="X117" i="47" s="1"/>
  <c r="X116" i="47" s="1"/>
  <c r="V117" i="47"/>
  <c r="S117" i="47"/>
  <c r="R117" i="47"/>
  <c r="Q117" i="47"/>
  <c r="P117" i="47"/>
  <c r="BM116" i="47"/>
  <c r="BN116" i="47" s="1"/>
  <c r="BK116" i="47"/>
  <c r="BL116" i="47" s="1"/>
  <c r="BJ116" i="47"/>
  <c r="BE116" i="47"/>
  <c r="BD116" i="47"/>
  <c r="BC116" i="47"/>
  <c r="BB116" i="47"/>
  <c r="BF116" i="47" s="1"/>
  <c r="BA116" i="47"/>
  <c r="BI116" i="47" s="1"/>
  <c r="AZ116" i="47"/>
  <c r="BH116" i="47" s="1"/>
  <c r="AY116" i="47"/>
  <c r="AX116" i="47"/>
  <c r="AW116" i="47"/>
  <c r="AV116" i="47"/>
  <c r="AS116" i="47"/>
  <c r="AR116" i="47"/>
  <c r="AQ116" i="47"/>
  <c r="AP116" i="47"/>
  <c r="AN116" i="47"/>
  <c r="AM116" i="47"/>
  <c r="AL116" i="47"/>
  <c r="AK116" i="47"/>
  <c r="AO116" i="47" s="1"/>
  <c r="AJ116" i="47"/>
  <c r="AI116" i="47"/>
  <c r="AH116" i="47"/>
  <c r="AG116" i="47"/>
  <c r="AF116" i="47"/>
  <c r="AE116" i="47"/>
  <c r="AD116" i="47"/>
  <c r="S116" i="47"/>
  <c r="R116" i="47"/>
  <c r="Q116" i="47"/>
  <c r="P116" i="47"/>
  <c r="BJ115" i="47"/>
  <c r="BI115" i="47"/>
  <c r="BH115" i="47"/>
  <c r="BG115" i="47"/>
  <c r="BA115" i="47"/>
  <c r="AZ115" i="47"/>
  <c r="AY115" i="47"/>
  <c r="AW115" i="47"/>
  <c r="AV115" i="47"/>
  <c r="AU115" i="47"/>
  <c r="AT115" i="47"/>
  <c r="AP115" i="47"/>
  <c r="AO115" i="47"/>
  <c r="AN115" i="47"/>
  <c r="AM115" i="47"/>
  <c r="AH115" i="47"/>
  <c r="AD115" i="47"/>
  <c r="AD113" i="47" s="1"/>
  <c r="X115" i="47"/>
  <c r="W115" i="47"/>
  <c r="V115" i="47"/>
  <c r="Q115" i="47"/>
  <c r="P115" i="47"/>
  <c r="P113" i="47" s="1"/>
  <c r="P112" i="47" s="1"/>
  <c r="BN114" i="47"/>
  <c r="BM114" i="47"/>
  <c r="BL114" i="47"/>
  <c r="BK114" i="47"/>
  <c r="BJ114" i="47"/>
  <c r="BI114" i="47"/>
  <c r="BH114" i="47"/>
  <c r="BA114" i="47"/>
  <c r="AZ114" i="47"/>
  <c r="AY114" i="47"/>
  <c r="BG114" i="47" s="1"/>
  <c r="AX114" i="47"/>
  <c r="AW114" i="47"/>
  <c r="AV114" i="47"/>
  <c r="AU114" i="47"/>
  <c r="AT114" i="47"/>
  <c r="AO114" i="47"/>
  <c r="AN114" i="47"/>
  <c r="AM114" i="47"/>
  <c r="AL114" i="47"/>
  <c r="W114" i="47"/>
  <c r="V114" i="47"/>
  <c r="S114" i="47"/>
  <c r="S113" i="47" s="1"/>
  <c r="S112" i="47" s="1"/>
  <c r="R114" i="47"/>
  <c r="R113" i="47" s="1"/>
  <c r="BM113" i="47"/>
  <c r="BE113" i="47"/>
  <c r="BD113" i="47"/>
  <c r="BH113" i="47" s="1"/>
  <c r="BC113" i="47"/>
  <c r="BB113" i="47"/>
  <c r="BA113" i="47"/>
  <c r="AZ113" i="47"/>
  <c r="AW113" i="47"/>
  <c r="AS113" i="47"/>
  <c r="AR113" i="47"/>
  <c r="AV113" i="47" s="1"/>
  <c r="AQ113" i="47"/>
  <c r="AU113" i="47" s="1"/>
  <c r="AP113" i="47"/>
  <c r="AN113" i="47"/>
  <c r="AM113" i="47"/>
  <c r="AK113" i="47"/>
  <c r="AJ113" i="47"/>
  <c r="AI113" i="47"/>
  <c r="AG113" i="47"/>
  <c r="AG112" i="47" s="1"/>
  <c r="AG111" i="47" s="1"/>
  <c r="AF113" i="47"/>
  <c r="AE113" i="47"/>
  <c r="Q113" i="47"/>
  <c r="BD112" i="47"/>
  <c r="BC112" i="47"/>
  <c r="AS112" i="47"/>
  <c r="AK112" i="47"/>
  <c r="AJ112" i="47"/>
  <c r="AI112" i="47"/>
  <c r="AF112" i="47"/>
  <c r="AE112" i="47"/>
  <c r="AC111" i="47"/>
  <c r="AB111" i="47"/>
  <c r="AA111" i="47"/>
  <c r="Z111" i="47"/>
  <c r="BK110" i="47"/>
  <c r="BI110" i="47"/>
  <c r="BH110" i="47"/>
  <c r="BA110" i="47"/>
  <c r="BA109" i="47" s="1"/>
  <c r="BI109" i="47" s="1"/>
  <c r="AZ110" i="47"/>
  <c r="AY110" i="47"/>
  <c r="AY109" i="47" s="1"/>
  <c r="AY108" i="47" s="1"/>
  <c r="AW110" i="47"/>
  <c r="AV110" i="47"/>
  <c r="AU110" i="47"/>
  <c r="AP110" i="47"/>
  <c r="AO110" i="47"/>
  <c r="AN110" i="47"/>
  <c r="AM110" i="47"/>
  <c r="AH110" i="47"/>
  <c r="AD110" i="47"/>
  <c r="AD109" i="47" s="1"/>
  <c r="BJ109" i="47" s="1"/>
  <c r="X110" i="47"/>
  <c r="X109" i="47" s="1"/>
  <c r="W110" i="47"/>
  <c r="V110" i="47"/>
  <c r="S110" i="47"/>
  <c r="S109" i="47" s="1"/>
  <c r="R110" i="47"/>
  <c r="R109" i="47" s="1"/>
  <c r="Q110" i="47"/>
  <c r="P110" i="47"/>
  <c r="BH109" i="47"/>
  <c r="BE109" i="47"/>
  <c r="BE108" i="47" s="1"/>
  <c r="BD109" i="47"/>
  <c r="BC109" i="47"/>
  <c r="BB109" i="47"/>
  <c r="AZ109" i="47"/>
  <c r="AU109" i="47"/>
  <c r="AQ109" i="47"/>
  <c r="AK109" i="47"/>
  <c r="AJ109" i="47"/>
  <c r="AI109" i="47"/>
  <c r="AH109" i="47"/>
  <c r="AG109" i="47"/>
  <c r="AG108" i="47" s="1"/>
  <c r="AF109" i="47"/>
  <c r="AF108" i="47" s="1"/>
  <c r="AE109" i="47"/>
  <c r="Q109" i="47"/>
  <c r="Q108" i="47" s="1"/>
  <c r="P109" i="47"/>
  <c r="P108" i="47" s="1"/>
  <c r="BD108" i="47"/>
  <c r="BH108" i="47" s="1"/>
  <c r="BC108" i="47"/>
  <c r="BG108" i="47" s="1"/>
  <c r="BB108" i="47"/>
  <c r="BA108" i="47"/>
  <c r="BI108" i="47" s="1"/>
  <c r="AZ108" i="47"/>
  <c r="AQ108" i="47"/>
  <c r="AK108" i="47"/>
  <c r="AO108" i="47" s="1"/>
  <c r="AE108" i="47"/>
  <c r="X108" i="47"/>
  <c r="S108" i="47"/>
  <c r="R108" i="47"/>
  <c r="BA107" i="47"/>
  <c r="BI107" i="47" s="1"/>
  <c r="AZ107" i="47"/>
  <c r="BH107" i="47" s="1"/>
  <c r="AY107" i="47"/>
  <c r="BG107" i="47" s="1"/>
  <c r="AX107" i="47"/>
  <c r="BF107" i="47" s="1"/>
  <c r="AW107" i="47"/>
  <c r="AV107" i="47"/>
  <c r="AU107" i="47"/>
  <c r="AP107" i="47"/>
  <c r="BM107" i="47" s="1"/>
  <c r="AO107" i="47"/>
  <c r="AN107" i="47"/>
  <c r="AM107" i="47"/>
  <c r="AH107" i="47"/>
  <c r="BK107" i="47" s="1"/>
  <c r="AD107" i="47"/>
  <c r="X107" i="47"/>
  <c r="W107" i="47"/>
  <c r="V107" i="47"/>
  <c r="Q107" i="47"/>
  <c r="P107" i="47"/>
  <c r="BK106" i="47"/>
  <c r="BJ106" i="47"/>
  <c r="BI106" i="47"/>
  <c r="BH106" i="47"/>
  <c r="BA106" i="47"/>
  <c r="AZ106" i="47"/>
  <c r="AY106" i="47"/>
  <c r="BG106" i="47" s="1"/>
  <c r="AW106" i="47"/>
  <c r="AV106" i="47"/>
  <c r="AU106" i="47"/>
  <c r="AP106" i="47"/>
  <c r="AO106" i="47"/>
  <c r="AN106" i="47"/>
  <c r="AM106" i="47"/>
  <c r="AH106" i="47"/>
  <c r="AD106" i="47"/>
  <c r="W106" i="47"/>
  <c r="X106" i="47" s="1"/>
  <c r="V106" i="47"/>
  <c r="Q106" i="47"/>
  <c r="P106" i="47"/>
  <c r="BM105" i="47"/>
  <c r="BH105" i="47"/>
  <c r="BA105" i="47"/>
  <c r="BI105" i="47" s="1"/>
  <c r="AZ105" i="47"/>
  <c r="AY105" i="47"/>
  <c r="BG105" i="47" s="1"/>
  <c r="AW105" i="47"/>
  <c r="AV105" i="47"/>
  <c r="AU105" i="47"/>
  <c r="AP105" i="47"/>
  <c r="AT105" i="47" s="1"/>
  <c r="AO105" i="47"/>
  <c r="AN105" i="47"/>
  <c r="AM105" i="47"/>
  <c r="AH105" i="47"/>
  <c r="AD105" i="47"/>
  <c r="X105" i="47"/>
  <c r="W105" i="47"/>
  <c r="V105" i="47"/>
  <c r="S105" i="47"/>
  <c r="R105" i="47"/>
  <c r="Q105" i="47"/>
  <c r="P105" i="47"/>
  <c r="P104" i="47" s="1"/>
  <c r="P103" i="47" s="1"/>
  <c r="BE104" i="47"/>
  <c r="BD104" i="47"/>
  <c r="BC104" i="47"/>
  <c r="BB104" i="47"/>
  <c r="BA104" i="47"/>
  <c r="BI104" i="47" s="1"/>
  <c r="AZ104" i="47"/>
  <c r="AY104" i="47"/>
  <c r="AY103" i="47" s="1"/>
  <c r="AW104" i="47"/>
  <c r="AV104" i="47"/>
  <c r="AU104" i="47"/>
  <c r="AS104" i="47"/>
  <c r="AR104" i="47"/>
  <c r="AQ104" i="47"/>
  <c r="AQ103" i="47" s="1"/>
  <c r="AM104" i="47"/>
  <c r="AK104" i="47"/>
  <c r="AJ104" i="47"/>
  <c r="AI104" i="47"/>
  <c r="AI103" i="47" s="1"/>
  <c r="AG104" i="47"/>
  <c r="AF104" i="47"/>
  <c r="AE104" i="47"/>
  <c r="S104" i="47"/>
  <c r="S103" i="47" s="1"/>
  <c r="R104" i="47"/>
  <c r="R103" i="47" s="1"/>
  <c r="Q104" i="47"/>
  <c r="Q103" i="47" s="1"/>
  <c r="BE103" i="47"/>
  <c r="BD103" i="47"/>
  <c r="AV103" i="47"/>
  <c r="AU103" i="47"/>
  <c r="AS103" i="47"/>
  <c r="AR103" i="47"/>
  <c r="AG103" i="47"/>
  <c r="AF103" i="47"/>
  <c r="AE103" i="47"/>
  <c r="BM102" i="47"/>
  <c r="BK102" i="47"/>
  <c r="BI102" i="47"/>
  <c r="BH102" i="47"/>
  <c r="BG102" i="47"/>
  <c r="BA102" i="47"/>
  <c r="AZ102" i="47"/>
  <c r="AY102" i="47"/>
  <c r="AW102" i="47"/>
  <c r="AV102" i="47"/>
  <c r="AU102" i="47"/>
  <c r="AP102" i="47"/>
  <c r="AX102" i="47" s="1"/>
  <c r="BF102" i="47" s="1"/>
  <c r="AO102" i="47"/>
  <c r="AN102" i="47"/>
  <c r="AM102" i="47"/>
  <c r="AH102" i="47"/>
  <c r="AD102" i="47"/>
  <c r="W102" i="47"/>
  <c r="X102" i="47" s="1"/>
  <c r="V102" i="47"/>
  <c r="Q102" i="47"/>
  <c r="P102" i="47"/>
  <c r="BM101" i="47"/>
  <c r="BN101" i="47" s="1"/>
  <c r="BH101" i="47"/>
  <c r="BG101" i="47"/>
  <c r="BA101" i="47"/>
  <c r="BI101" i="47" s="1"/>
  <c r="AZ101" i="47"/>
  <c r="AY101" i="47"/>
  <c r="AX101" i="47"/>
  <c r="AW101" i="47"/>
  <c r="AV101" i="47"/>
  <c r="AU101" i="47"/>
  <c r="AP101" i="47"/>
  <c r="AT101" i="47" s="1"/>
  <c r="AO101" i="47"/>
  <c r="AN101" i="47"/>
  <c r="AM101" i="47"/>
  <c r="AH101" i="47"/>
  <c r="AD101" i="47"/>
  <c r="BJ101" i="47" s="1"/>
  <c r="W101" i="47"/>
  <c r="V101" i="47"/>
  <c r="S101" i="47"/>
  <c r="R101" i="47"/>
  <c r="Q101" i="47"/>
  <c r="P101" i="47"/>
  <c r="P100" i="47" s="1"/>
  <c r="BE100" i="47"/>
  <c r="BD100" i="47"/>
  <c r="BC100" i="47"/>
  <c r="BG100" i="47" s="1"/>
  <c r="BB100" i="47"/>
  <c r="BA100" i="47"/>
  <c r="BI100" i="47" s="1"/>
  <c r="AZ100" i="47"/>
  <c r="BH100" i="47" s="1"/>
  <c r="AY100" i="47"/>
  <c r="AW100" i="47"/>
  <c r="AV100" i="47"/>
  <c r="AS100" i="47"/>
  <c r="AR100" i="47"/>
  <c r="AQ100" i="47"/>
  <c r="AU100" i="47" s="1"/>
  <c r="AP100" i="47"/>
  <c r="AO100" i="47"/>
  <c r="AN100" i="47"/>
  <c r="AM100" i="47"/>
  <c r="AK100" i="47"/>
  <c r="AJ100" i="47"/>
  <c r="AI100" i="47"/>
  <c r="AG100" i="47"/>
  <c r="AF100" i="47"/>
  <c r="AE100" i="47"/>
  <c r="S100" i="47"/>
  <c r="R100" i="47"/>
  <c r="Q100" i="47"/>
  <c r="BA99" i="47"/>
  <c r="AZ99" i="47"/>
  <c r="AY99" i="47"/>
  <c r="AW99" i="47"/>
  <c r="AV99" i="47"/>
  <c r="AU99" i="47"/>
  <c r="AP99" i="47"/>
  <c r="AO99" i="47"/>
  <c r="AN99" i="47"/>
  <c r="AM99" i="47"/>
  <c r="AH99" i="47"/>
  <c r="AD99" i="47"/>
  <c r="X99" i="47"/>
  <c r="X98" i="47" s="1"/>
  <c r="W99" i="47"/>
  <c r="V99" i="47"/>
  <c r="S99" i="47"/>
  <c r="R99" i="47"/>
  <c r="R98" i="47" s="1"/>
  <c r="Q99" i="47"/>
  <c r="P99" i="47"/>
  <c r="BE98" i="47"/>
  <c r="BD98" i="47"/>
  <c r="BC98" i="47"/>
  <c r="BB98" i="47"/>
  <c r="AS98" i="47"/>
  <c r="AW98" i="47" s="1"/>
  <c r="AR98" i="47"/>
  <c r="AV98" i="47" s="1"/>
  <c r="AQ98" i="47"/>
  <c r="AP98" i="47"/>
  <c r="AK98" i="47"/>
  <c r="AJ98" i="47"/>
  <c r="AI98" i="47"/>
  <c r="AG98" i="47"/>
  <c r="AF98" i="47"/>
  <c r="AE98" i="47"/>
  <c r="AM98" i="47" s="1"/>
  <c r="S98" i="47"/>
  <c r="Q98" i="47"/>
  <c r="P98" i="47"/>
  <c r="BA97" i="47"/>
  <c r="BA96" i="47" s="1"/>
  <c r="BI96" i="47" s="1"/>
  <c r="AZ97" i="47"/>
  <c r="AZ96" i="47" s="1"/>
  <c r="AY97" i="47"/>
  <c r="BG97" i="47" s="1"/>
  <c r="AW97" i="47"/>
  <c r="AV97" i="47"/>
  <c r="AU97" i="47"/>
  <c r="AP97" i="47"/>
  <c r="AO97" i="47"/>
  <c r="AN97" i="47"/>
  <c r="AM97" i="47"/>
  <c r="AH97" i="47"/>
  <c r="AL97" i="47" s="1"/>
  <c r="AD97" i="47"/>
  <c r="AD96" i="47" s="1"/>
  <c r="BJ96" i="47" s="1"/>
  <c r="W97" i="47"/>
  <c r="V97" i="47"/>
  <c r="X97" i="47" s="1"/>
  <c r="X96" i="47" s="1"/>
  <c r="S97" i="47"/>
  <c r="S96" i="47" s="1"/>
  <c r="R97" i="47"/>
  <c r="R96" i="47" s="1"/>
  <c r="Q97" i="47"/>
  <c r="Q96" i="47" s="1"/>
  <c r="P97" i="47"/>
  <c r="P96" i="47" s="1"/>
  <c r="BE96" i="47"/>
  <c r="BD96" i="47"/>
  <c r="BC96" i="47"/>
  <c r="BB96" i="47"/>
  <c r="AY96" i="47"/>
  <c r="BG96" i="47" s="1"/>
  <c r="AS96" i="47"/>
  <c r="AR96" i="47"/>
  <c r="AQ96" i="47"/>
  <c r="AK96" i="47"/>
  <c r="AJ96" i="47"/>
  <c r="AI96" i="47"/>
  <c r="AH96" i="47"/>
  <c r="BK96" i="47" s="1"/>
  <c r="AG96" i="47"/>
  <c r="AW96" i="47" s="1"/>
  <c r="AF96" i="47"/>
  <c r="AN96" i="47" s="1"/>
  <c r="AE96" i="47"/>
  <c r="AU96" i="47" s="1"/>
  <c r="BK95" i="47"/>
  <c r="BJ95" i="47"/>
  <c r="BL95" i="47" s="1"/>
  <c r="BI95" i="47"/>
  <c r="BH95" i="47"/>
  <c r="BG95" i="47"/>
  <c r="BA95" i="47"/>
  <c r="AZ95" i="47"/>
  <c r="AY95" i="47"/>
  <c r="AW95" i="47"/>
  <c r="AV95" i="47"/>
  <c r="AU95" i="47"/>
  <c r="AP95" i="47"/>
  <c r="AO95" i="47"/>
  <c r="AN95" i="47"/>
  <c r="AM95" i="47"/>
  <c r="AL95" i="47"/>
  <c r="AH95" i="47"/>
  <c r="AD95" i="47"/>
  <c r="W95" i="47"/>
  <c r="V95" i="47"/>
  <c r="S95" i="47"/>
  <c r="S94" i="47" s="1"/>
  <c r="R95" i="47"/>
  <c r="Q95" i="47"/>
  <c r="P95" i="47"/>
  <c r="P94" i="47" s="1"/>
  <c r="BK94" i="47"/>
  <c r="BG94" i="47"/>
  <c r="BE94" i="47"/>
  <c r="BD94" i="47"/>
  <c r="BC94" i="47"/>
  <c r="BB94" i="47"/>
  <c r="BA94" i="47"/>
  <c r="AZ94" i="47"/>
  <c r="AY94" i="47"/>
  <c r="AS94" i="47"/>
  <c r="AW94" i="47" s="1"/>
  <c r="AR94" i="47"/>
  <c r="AV94" i="47" s="1"/>
  <c r="AQ94" i="47"/>
  <c r="AM94" i="47"/>
  <c r="AL94" i="47"/>
  <c r="AK94" i="47"/>
  <c r="AJ94" i="47"/>
  <c r="AI94" i="47"/>
  <c r="AH94" i="47"/>
  <c r="AG94" i="47"/>
  <c r="AO94" i="47" s="1"/>
  <c r="AF94" i="47"/>
  <c r="AN94" i="47" s="1"/>
  <c r="AE94" i="47"/>
  <c r="AD94" i="47"/>
  <c r="R94" i="47"/>
  <c r="Q94" i="47"/>
  <c r="BK93" i="47"/>
  <c r="BL93" i="47" s="1"/>
  <c r="BJ93" i="47"/>
  <c r="BI93" i="47"/>
  <c r="BH93" i="47"/>
  <c r="BG93" i="47"/>
  <c r="BA93" i="47"/>
  <c r="AZ93" i="47"/>
  <c r="AY93" i="47"/>
  <c r="AW93" i="47"/>
  <c r="AV93" i="47"/>
  <c r="AU93" i="47"/>
  <c r="AT93" i="47"/>
  <c r="AP93" i="47"/>
  <c r="AO93" i="47"/>
  <c r="AN93" i="47"/>
  <c r="AM93" i="47"/>
  <c r="AL93" i="47"/>
  <c r="AH93" i="47"/>
  <c r="AD93" i="47"/>
  <c r="X93" i="47"/>
  <c r="X92" i="47" s="1"/>
  <c r="W93" i="47"/>
  <c r="V93" i="47"/>
  <c r="S93" i="47"/>
  <c r="S92" i="47" s="1"/>
  <c r="R93" i="47"/>
  <c r="R92" i="47" s="1"/>
  <c r="Q93" i="47"/>
  <c r="Q92" i="47" s="1"/>
  <c r="P93" i="47"/>
  <c r="BE92" i="47"/>
  <c r="BD92" i="47"/>
  <c r="BH92" i="47" s="1"/>
  <c r="BC92" i="47"/>
  <c r="BB92" i="47"/>
  <c r="BA92" i="47"/>
  <c r="AZ92" i="47"/>
  <c r="AY92" i="47"/>
  <c r="AW92" i="47"/>
  <c r="AS92" i="47"/>
  <c r="AR92" i="47"/>
  <c r="AV92" i="47" s="1"/>
  <c r="AQ92" i="47"/>
  <c r="AU92" i="47" s="1"/>
  <c r="AM92" i="47"/>
  <c r="AK92" i="47"/>
  <c r="AO92" i="47" s="1"/>
  <c r="AJ92" i="47"/>
  <c r="AN92" i="47" s="1"/>
  <c r="AI92" i="47"/>
  <c r="AH92" i="47"/>
  <c r="BK92" i="47" s="1"/>
  <c r="BL92" i="47" s="1"/>
  <c r="AG92" i="47"/>
  <c r="AF92" i="47"/>
  <c r="AE92" i="47"/>
  <c r="AD92" i="47"/>
  <c r="BJ92" i="47" s="1"/>
  <c r="P92" i="47"/>
  <c r="BM91" i="47"/>
  <c r="BN91" i="47" s="1"/>
  <c r="BK91" i="47"/>
  <c r="BL91" i="47" s="1"/>
  <c r="BJ91" i="47"/>
  <c r="BH91" i="47"/>
  <c r="BG91" i="47"/>
  <c r="BA91" i="47"/>
  <c r="BI91" i="47" s="1"/>
  <c r="AZ91" i="47"/>
  <c r="AY91" i="47"/>
  <c r="AX91" i="47"/>
  <c r="BF91" i="47" s="1"/>
  <c r="AW91" i="47"/>
  <c r="AV91" i="47"/>
  <c r="AU91" i="47"/>
  <c r="AT91" i="47"/>
  <c r="AO91" i="47"/>
  <c r="AN91" i="47"/>
  <c r="AM91" i="47"/>
  <c r="AL91" i="47"/>
  <c r="W91" i="47"/>
  <c r="V91" i="47"/>
  <c r="X91" i="47" s="1"/>
  <c r="Q91" i="47"/>
  <c r="P91" i="47"/>
  <c r="BN90" i="47"/>
  <c r="BM90" i="47"/>
  <c r="BK90" i="47"/>
  <c r="BL90" i="47" s="1"/>
  <c r="BJ90" i="47"/>
  <c r="BH90" i="47"/>
  <c r="BG90" i="47"/>
  <c r="BA90" i="47"/>
  <c r="BI90" i="47" s="1"/>
  <c r="AZ90" i="47"/>
  <c r="AY90" i="47"/>
  <c r="AX90" i="47"/>
  <c r="BF90" i="47" s="1"/>
  <c r="AW90" i="47"/>
  <c r="AV90" i="47"/>
  <c r="AU90" i="47"/>
  <c r="AT90" i="47"/>
  <c r="AO90" i="47"/>
  <c r="AN90" i="47"/>
  <c r="AM90" i="47"/>
  <c r="AL90" i="47"/>
  <c r="W90" i="47"/>
  <c r="X90" i="47" s="1"/>
  <c r="V90" i="47"/>
  <c r="Q90" i="47"/>
  <c r="P90" i="47"/>
  <c r="BA89" i="47"/>
  <c r="BI89" i="47" s="1"/>
  <c r="AZ89" i="47"/>
  <c r="BH89" i="47" s="1"/>
  <c r="AY89" i="47"/>
  <c r="BG89" i="47" s="1"/>
  <c r="AX89" i="47"/>
  <c r="BF89" i="47" s="1"/>
  <c r="AW89" i="47"/>
  <c r="AV89" i="47"/>
  <c r="AU89" i="47"/>
  <c r="AP89" i="47"/>
  <c r="BM89" i="47" s="1"/>
  <c r="AO89" i="47"/>
  <c r="AN89" i="47"/>
  <c r="AM89" i="47"/>
  <c r="AH89" i="47"/>
  <c r="BK89" i="47" s="1"/>
  <c r="AD89" i="47"/>
  <c r="BJ89" i="47" s="1"/>
  <c r="BN89" i="47" s="1"/>
  <c r="W89" i="47"/>
  <c r="X89" i="47" s="1"/>
  <c r="V89" i="47"/>
  <c r="Q89" i="47"/>
  <c r="P89" i="47"/>
  <c r="BK88" i="47"/>
  <c r="BJ88" i="47"/>
  <c r="BH88" i="47"/>
  <c r="BG88" i="47"/>
  <c r="BA88" i="47"/>
  <c r="BI88" i="47" s="1"/>
  <c r="AZ88" i="47"/>
  <c r="AY88" i="47"/>
  <c r="AW88" i="47"/>
  <c r="AV88" i="47"/>
  <c r="AU88" i="47"/>
  <c r="AP88" i="47"/>
  <c r="AT88" i="47" s="1"/>
  <c r="AO88" i="47"/>
  <c r="AN88" i="47"/>
  <c r="AM88" i="47"/>
  <c r="AL88" i="47"/>
  <c r="AH88" i="47"/>
  <c r="AD88" i="47"/>
  <c r="W88" i="47"/>
  <c r="V88" i="47"/>
  <c r="X88" i="47" s="1"/>
  <c r="Q88" i="47"/>
  <c r="P88" i="47"/>
  <c r="BM87" i="47"/>
  <c r="BN87" i="47" s="1"/>
  <c r="BK87" i="47"/>
  <c r="BL87" i="47" s="1"/>
  <c r="BJ87" i="47"/>
  <c r="BG87" i="47"/>
  <c r="BA87" i="47"/>
  <c r="BI87" i="47" s="1"/>
  <c r="AZ87" i="47"/>
  <c r="BH87" i="47" s="1"/>
  <c r="AY87" i="47"/>
  <c r="AX87" i="47"/>
  <c r="BF87" i="47" s="1"/>
  <c r="AW87" i="47"/>
  <c r="AV87" i="47"/>
  <c r="AU87" i="47"/>
  <c r="AT87" i="47"/>
  <c r="AO87" i="47"/>
  <c r="AN87" i="47"/>
  <c r="AM87" i="47"/>
  <c r="AL87" i="47"/>
  <c r="X87" i="47"/>
  <c r="W87" i="47"/>
  <c r="V87" i="47"/>
  <c r="Q87" i="47"/>
  <c r="P87" i="47"/>
  <c r="BN86" i="47"/>
  <c r="BM86" i="47"/>
  <c r="BK86" i="47"/>
  <c r="BL86" i="47" s="1"/>
  <c r="BJ86" i="47"/>
  <c r="BG86" i="47"/>
  <c r="BF86" i="47"/>
  <c r="BA86" i="47"/>
  <c r="BI86" i="47" s="1"/>
  <c r="AZ86" i="47"/>
  <c r="AY86" i="47"/>
  <c r="AX86" i="47"/>
  <c r="AW86" i="47"/>
  <c r="AV86" i="47"/>
  <c r="AU86" i="47"/>
  <c r="AT86" i="47"/>
  <c r="AO86" i="47"/>
  <c r="AN86" i="47"/>
  <c r="AM86" i="47"/>
  <c r="AL86" i="47"/>
  <c r="X86" i="47"/>
  <c r="W86" i="47"/>
  <c r="V86" i="47"/>
  <c r="S86" i="47"/>
  <c r="R86" i="47"/>
  <c r="Q86" i="47"/>
  <c r="P86" i="47"/>
  <c r="BE85" i="47"/>
  <c r="BD85" i="47"/>
  <c r="BC85" i="47"/>
  <c r="BB85" i="47"/>
  <c r="AS85" i="47"/>
  <c r="AW85" i="47" s="1"/>
  <c r="AR85" i="47"/>
  <c r="AV85" i="47" s="1"/>
  <c r="AQ85" i="47"/>
  <c r="AK85" i="47"/>
  <c r="AJ85" i="47"/>
  <c r="AN85" i="47" s="1"/>
  <c r="AI85" i="47"/>
  <c r="AM85" i="47" s="1"/>
  <c r="AG85" i="47"/>
  <c r="AO85" i="47" s="1"/>
  <c r="AF85" i="47"/>
  <c r="AE85" i="47"/>
  <c r="BM84" i="47"/>
  <c r="BK84" i="47"/>
  <c r="BJ84" i="47"/>
  <c r="BI84" i="47"/>
  <c r="BH84" i="47"/>
  <c r="BG84" i="47"/>
  <c r="BF84" i="47"/>
  <c r="BA84" i="47"/>
  <c r="AZ84" i="47"/>
  <c r="AY84" i="47"/>
  <c r="AX84" i="47"/>
  <c r="AW84" i="47"/>
  <c r="AV84" i="47"/>
  <c r="AU84" i="47"/>
  <c r="AT84" i="47"/>
  <c r="AO84" i="47"/>
  <c r="AN84" i="47"/>
  <c r="AM84" i="47"/>
  <c r="AL84" i="47"/>
  <c r="X84" i="47"/>
  <c r="W84" i="47"/>
  <c r="V84" i="47"/>
  <c r="S84" i="47"/>
  <c r="R84" i="47"/>
  <c r="Q84" i="47"/>
  <c r="P84" i="47"/>
  <c r="BM83" i="47"/>
  <c r="BL83" i="47"/>
  <c r="BK83" i="47"/>
  <c r="BJ83" i="47"/>
  <c r="BI83" i="47"/>
  <c r="BH83" i="47"/>
  <c r="BG83" i="47"/>
  <c r="BA83" i="47"/>
  <c r="AZ83" i="47"/>
  <c r="AY83" i="47"/>
  <c r="AX83" i="47"/>
  <c r="BF83" i="47" s="1"/>
  <c r="AW83" i="47"/>
  <c r="AV83" i="47"/>
  <c r="AU83" i="47"/>
  <c r="AT83" i="47"/>
  <c r="AO83" i="47"/>
  <c r="AN83" i="47"/>
  <c r="AM83" i="47"/>
  <c r="AL83" i="47"/>
  <c r="W83" i="47"/>
  <c r="X83" i="47" s="1"/>
  <c r="V83" i="47"/>
  <c r="S83" i="47"/>
  <c r="R83" i="47"/>
  <c r="R81" i="47" s="1"/>
  <c r="Q83" i="47"/>
  <c r="Q81" i="47" s="1"/>
  <c r="P83" i="47"/>
  <c r="BN82" i="47"/>
  <c r="BM82" i="47"/>
  <c r="BL82" i="47"/>
  <c r="BK82" i="47"/>
  <c r="BH82" i="47"/>
  <c r="BG82" i="47"/>
  <c r="BA82" i="47"/>
  <c r="BI82" i="47" s="1"/>
  <c r="AZ82" i="47"/>
  <c r="AZ81" i="47" s="1"/>
  <c r="BH81" i="47" s="1"/>
  <c r="AY82" i="47"/>
  <c r="AY81" i="47" s="1"/>
  <c r="AX82" i="47"/>
  <c r="AW82" i="47"/>
  <c r="AV82" i="47"/>
  <c r="AU82" i="47"/>
  <c r="AP82" i="47"/>
  <c r="AT82" i="47" s="1"/>
  <c r="AO82" i="47"/>
  <c r="AN82" i="47"/>
  <c r="AM82" i="47"/>
  <c r="AH82" i="47"/>
  <c r="AD82" i="47"/>
  <c r="BJ82" i="47" s="1"/>
  <c r="W82" i="47"/>
  <c r="V82" i="47"/>
  <c r="S82" i="47"/>
  <c r="S81" i="47" s="1"/>
  <c r="R82" i="47"/>
  <c r="Q82" i="47"/>
  <c r="P82" i="47"/>
  <c r="P81" i="47" s="1"/>
  <c r="BM81" i="47"/>
  <c r="BE81" i="47"/>
  <c r="BD81" i="47"/>
  <c r="BC81" i="47"/>
  <c r="BG81" i="47" s="1"/>
  <c r="BB81" i="47"/>
  <c r="BA81" i="47"/>
  <c r="BI81" i="47" s="1"/>
  <c r="AW81" i="47"/>
  <c r="AV81" i="47"/>
  <c r="AT81" i="47"/>
  <c r="AS81" i="47"/>
  <c r="AR81" i="47"/>
  <c r="AQ81" i="47"/>
  <c r="AP81" i="47"/>
  <c r="AO81" i="47"/>
  <c r="AK81" i="47"/>
  <c r="AJ81" i="47"/>
  <c r="AI81" i="47"/>
  <c r="AH81" i="47"/>
  <c r="AG81" i="47"/>
  <c r="AF81" i="47"/>
  <c r="AE81" i="47"/>
  <c r="AU81" i="47" s="1"/>
  <c r="AD81" i="47"/>
  <c r="BH80" i="47"/>
  <c r="BG80" i="47"/>
  <c r="BA80" i="47"/>
  <c r="BI80" i="47" s="1"/>
  <c r="AZ80" i="47"/>
  <c r="AY80" i="47"/>
  <c r="AW80" i="47"/>
  <c r="AV80" i="47"/>
  <c r="AU80" i="47"/>
  <c r="AP80" i="47"/>
  <c r="AT80" i="47" s="1"/>
  <c r="AO80" i="47"/>
  <c r="AN80" i="47"/>
  <c r="AM80" i="47"/>
  <c r="AH80" i="47"/>
  <c r="AD80" i="47"/>
  <c r="BJ80" i="47" s="1"/>
  <c r="W80" i="47"/>
  <c r="X80" i="47" s="1"/>
  <c r="V80" i="47"/>
  <c r="S80" i="47"/>
  <c r="R80" i="47"/>
  <c r="Q80" i="47"/>
  <c r="P80" i="47"/>
  <c r="BM79" i="47"/>
  <c r="BI79" i="47"/>
  <c r="BA79" i="47"/>
  <c r="BA78" i="47" s="1"/>
  <c r="AZ79" i="47"/>
  <c r="AY79" i="47"/>
  <c r="AW79" i="47"/>
  <c r="AV79" i="47"/>
  <c r="AU79" i="47"/>
  <c r="AP79" i="47"/>
  <c r="AO79" i="47"/>
  <c r="AN79" i="47"/>
  <c r="AM79" i="47"/>
  <c r="AH79" i="47"/>
  <c r="AD79" i="47"/>
  <c r="X79" i="47"/>
  <c r="X78" i="47" s="1"/>
  <c r="X77" i="47" s="1"/>
  <c r="W79" i="47"/>
  <c r="V79" i="47"/>
  <c r="S79" i="47"/>
  <c r="S78" i="47" s="1"/>
  <c r="R79" i="47"/>
  <c r="Q79" i="47"/>
  <c r="P79" i="47"/>
  <c r="BE78" i="47"/>
  <c r="BD78" i="47"/>
  <c r="BC78" i="47"/>
  <c r="BB78" i="47"/>
  <c r="BB77" i="47" s="1"/>
  <c r="AS78" i="47"/>
  <c r="AW78" i="47" s="1"/>
  <c r="AR78" i="47"/>
  <c r="AV78" i="47" s="1"/>
  <c r="AQ78" i="47"/>
  <c r="AU78" i="47" s="1"/>
  <c r="AP78" i="47"/>
  <c r="BM78" i="47" s="1"/>
  <c r="AM78" i="47"/>
  <c r="AK78" i="47"/>
  <c r="AJ78" i="47"/>
  <c r="AI78" i="47"/>
  <c r="AG78" i="47"/>
  <c r="AF78" i="47"/>
  <c r="AE78" i="47"/>
  <c r="R78" i="47"/>
  <c r="Q78" i="47"/>
  <c r="P78" i="47"/>
  <c r="Z76" i="47"/>
  <c r="AA76" i="47" s="1"/>
  <c r="AB76" i="47" s="1"/>
  <c r="AC76" i="47" s="1"/>
  <c r="BM75" i="47"/>
  <c r="BN75" i="47" s="1"/>
  <c r="BL75" i="47"/>
  <c r="BK75" i="47"/>
  <c r="BJ75" i="47"/>
  <c r="BG75" i="47"/>
  <c r="BF75" i="47"/>
  <c r="BA75" i="47"/>
  <c r="BA74" i="47" s="1"/>
  <c r="AZ75" i="47"/>
  <c r="AZ74" i="47" s="1"/>
  <c r="BH74" i="47" s="1"/>
  <c r="AY75" i="47"/>
  <c r="AX75" i="47"/>
  <c r="AW75" i="47"/>
  <c r="AV75" i="47"/>
  <c r="AU75" i="47"/>
  <c r="AT75" i="47"/>
  <c r="AO75" i="47"/>
  <c r="AN75" i="47"/>
  <c r="AM75" i="47"/>
  <c r="AL75" i="47"/>
  <c r="W75" i="47"/>
  <c r="X75" i="47" s="1"/>
  <c r="X74" i="47" s="1"/>
  <c r="V75" i="47"/>
  <c r="S75" i="47"/>
  <c r="R75" i="47"/>
  <c r="Q75" i="47"/>
  <c r="BE74" i="47"/>
  <c r="BI74" i="47" s="1"/>
  <c r="BD74" i="47"/>
  <c r="BC74" i="47"/>
  <c r="BB74" i="47"/>
  <c r="AY74" i="47"/>
  <c r="BG74" i="47" s="1"/>
  <c r="AX74" i="47"/>
  <c r="BF74" i="47" s="1"/>
  <c r="AT74" i="47"/>
  <c r="AS74" i="47"/>
  <c r="AW74" i="47" s="1"/>
  <c r="AR74" i="47"/>
  <c r="AV74" i="47" s="1"/>
  <c r="AQ74" i="47"/>
  <c r="AP74" i="47"/>
  <c r="AL74" i="47"/>
  <c r="AK74" i="47"/>
  <c r="AO74" i="47" s="1"/>
  <c r="AJ74" i="47"/>
  <c r="AI74" i="47"/>
  <c r="AM74" i="47" s="1"/>
  <c r="AH74" i="47"/>
  <c r="BK74" i="47" s="1"/>
  <c r="BL74" i="47" s="1"/>
  <c r="AG74" i="47"/>
  <c r="AF74" i="47"/>
  <c r="AE74" i="47"/>
  <c r="BJ74" i="47" s="1"/>
  <c r="AD74" i="47"/>
  <c r="S74" i="47"/>
  <c r="R74" i="47"/>
  <c r="Q74" i="47"/>
  <c r="P74" i="47"/>
  <c r="BL73" i="47"/>
  <c r="BK73" i="47"/>
  <c r="BJ73" i="47"/>
  <c r="BI73" i="47"/>
  <c r="BA73" i="47"/>
  <c r="AZ73" i="47"/>
  <c r="BH73" i="47" s="1"/>
  <c r="AY73" i="47"/>
  <c r="BG73" i="47" s="1"/>
  <c r="AW73" i="47"/>
  <c r="AV73" i="47"/>
  <c r="AU73" i="47"/>
  <c r="AP73" i="47"/>
  <c r="AX73" i="47" s="1"/>
  <c r="BF73" i="47" s="1"/>
  <c r="AO73" i="47"/>
  <c r="AN73" i="47"/>
  <c r="AM73" i="47"/>
  <c r="AH73" i="47"/>
  <c r="AH70" i="47" s="1"/>
  <c r="AD73" i="47"/>
  <c r="AL73" i="47" s="1"/>
  <c r="W73" i="47"/>
  <c r="V73" i="47"/>
  <c r="S73" i="47"/>
  <c r="R73" i="47"/>
  <c r="Q73" i="47"/>
  <c r="P73" i="47"/>
  <c r="BM72" i="47"/>
  <c r="BK72" i="47"/>
  <c r="BA72" i="47"/>
  <c r="BI72" i="47" s="1"/>
  <c r="AZ72" i="47"/>
  <c r="BH72" i="47" s="1"/>
  <c r="AW72" i="47"/>
  <c r="AV72" i="47"/>
  <c r="AU72" i="47"/>
  <c r="AT72" i="47"/>
  <c r="AQ72" i="47"/>
  <c r="AP72" i="47"/>
  <c r="AO72" i="47"/>
  <c r="AN72" i="47"/>
  <c r="AI72" i="47"/>
  <c r="AY72" i="47" s="1"/>
  <c r="BG72" i="47" s="1"/>
  <c r="AH72" i="47"/>
  <c r="AX72" i="47" s="1"/>
  <c r="AX70" i="47" s="1"/>
  <c r="AE72" i="47"/>
  <c r="AE70" i="47" s="1"/>
  <c r="AD72" i="47"/>
  <c r="W72" i="47"/>
  <c r="X72" i="47" s="1"/>
  <c r="V72" i="47"/>
  <c r="S72" i="47"/>
  <c r="R72" i="47"/>
  <c r="Q72" i="47"/>
  <c r="P72" i="47"/>
  <c r="BK71" i="47"/>
  <c r="BJ71" i="47"/>
  <c r="BI71" i="47"/>
  <c r="BH71" i="47"/>
  <c r="BF71" i="47"/>
  <c r="BA71" i="47"/>
  <c r="AZ71" i="47"/>
  <c r="AX71" i="47"/>
  <c r="AW71" i="47"/>
  <c r="AV71" i="47"/>
  <c r="AT71" i="47"/>
  <c r="AQ71" i="47"/>
  <c r="AO71" i="47"/>
  <c r="AN71" i="47"/>
  <c r="AM71" i="47"/>
  <c r="AL71" i="47"/>
  <c r="AI71" i="47"/>
  <c r="AI70" i="47" s="1"/>
  <c r="AE71" i="47"/>
  <c r="X71" i="47"/>
  <c r="W71" i="47"/>
  <c r="V71" i="47"/>
  <c r="S71" i="47"/>
  <c r="R71" i="47"/>
  <c r="Q71" i="47"/>
  <c r="BE70" i="47"/>
  <c r="BD70" i="47"/>
  <c r="BC70" i="47"/>
  <c r="BB70" i="47"/>
  <c r="AS70" i="47"/>
  <c r="AW70" i="47" s="1"/>
  <c r="AR70" i="47"/>
  <c r="AV70" i="47" s="1"/>
  <c r="AQ70" i="47"/>
  <c r="AU70" i="47" s="1"/>
  <c r="AO70" i="47"/>
  <c r="AN70" i="47"/>
  <c r="AM70" i="47"/>
  <c r="AK70" i="47"/>
  <c r="AJ70" i="47"/>
  <c r="AG70" i="47"/>
  <c r="AF70" i="47"/>
  <c r="S70" i="47"/>
  <c r="R70" i="47"/>
  <c r="Q70" i="47"/>
  <c r="P70" i="47"/>
  <c r="BK69" i="47"/>
  <c r="BA69" i="47"/>
  <c r="AZ69" i="47"/>
  <c r="AY69" i="47"/>
  <c r="AX69" i="47"/>
  <c r="AW69" i="47"/>
  <c r="AV69" i="47"/>
  <c r="AU69" i="47"/>
  <c r="AT69" i="47"/>
  <c r="AP69" i="47"/>
  <c r="BM69" i="47" s="1"/>
  <c r="AO69" i="47"/>
  <c r="AN69" i="47"/>
  <c r="AM69" i="47"/>
  <c r="AH69" i="47"/>
  <c r="AH68" i="47" s="1"/>
  <c r="AD69" i="47"/>
  <c r="BJ69" i="47" s="1"/>
  <c r="BN69" i="47" s="1"/>
  <c r="X69" i="47"/>
  <c r="W69" i="47"/>
  <c r="V69" i="47"/>
  <c r="S69" i="47"/>
  <c r="R69" i="47"/>
  <c r="R68" i="47" s="1"/>
  <c r="P69" i="47"/>
  <c r="P68" i="47" s="1"/>
  <c r="BK68" i="47"/>
  <c r="BJ68" i="47"/>
  <c r="BE68" i="47"/>
  <c r="BD68" i="47"/>
  <c r="BC68" i="47"/>
  <c r="BB68" i="47"/>
  <c r="AS68" i="47"/>
  <c r="AR68" i="47"/>
  <c r="AQ68" i="47"/>
  <c r="AU68" i="47" s="1"/>
  <c r="AP68" i="47"/>
  <c r="AK68" i="47"/>
  <c r="AJ68" i="47"/>
  <c r="AI68" i="47"/>
  <c r="AG68" i="47"/>
  <c r="AG58" i="47" s="1"/>
  <c r="AF68" i="47"/>
  <c r="AF58" i="47" s="1"/>
  <c r="AE68" i="47"/>
  <c r="AM68" i="47" s="1"/>
  <c r="AD68" i="47"/>
  <c r="X68" i="47"/>
  <c r="S68" i="47"/>
  <c r="Q68" i="47"/>
  <c r="BJ67" i="47"/>
  <c r="BA67" i="47"/>
  <c r="BI67" i="47" s="1"/>
  <c r="AZ67" i="47"/>
  <c r="BH67" i="47" s="1"/>
  <c r="AY67" i="47"/>
  <c r="BG67" i="47" s="1"/>
  <c r="AW67" i="47"/>
  <c r="AV67" i="47"/>
  <c r="AT67" i="47"/>
  <c r="AQ67" i="47"/>
  <c r="AU67" i="47" s="1"/>
  <c r="AP67" i="47"/>
  <c r="BM67" i="47" s="1"/>
  <c r="BN67" i="47" s="1"/>
  <c r="AO67" i="47"/>
  <c r="AN67" i="47"/>
  <c r="AL67" i="47"/>
  <c r="AI67" i="47"/>
  <c r="BK67" i="47" s="1"/>
  <c r="BL67" i="47" s="1"/>
  <c r="AH67" i="47"/>
  <c r="AX67" i="47" s="1"/>
  <c r="BF67" i="47" s="1"/>
  <c r="AE67" i="47"/>
  <c r="AD67" i="47"/>
  <c r="W67" i="47"/>
  <c r="X67" i="47" s="1"/>
  <c r="V67" i="47"/>
  <c r="S67" i="47"/>
  <c r="R67" i="47"/>
  <c r="Q67" i="47"/>
  <c r="P67" i="47"/>
  <c r="BM66" i="47"/>
  <c r="BA66" i="47"/>
  <c r="BI66" i="47" s="1"/>
  <c r="AZ66" i="47"/>
  <c r="BH66" i="47" s="1"/>
  <c r="AY66" i="47"/>
  <c r="BG66" i="47" s="1"/>
  <c r="AX66" i="47"/>
  <c r="BF66" i="47" s="1"/>
  <c r="AW66" i="47"/>
  <c r="AV66" i="47"/>
  <c r="AQ66" i="47"/>
  <c r="AP66" i="47"/>
  <c r="AO66" i="47"/>
  <c r="AN66" i="47"/>
  <c r="AI66" i="47"/>
  <c r="AH66" i="47"/>
  <c r="BK66" i="47" s="1"/>
  <c r="AE66" i="47"/>
  <c r="AE64" i="47" s="1"/>
  <c r="AE58" i="47" s="1"/>
  <c r="AD66" i="47"/>
  <c r="W66" i="47"/>
  <c r="V66" i="47"/>
  <c r="S66" i="47"/>
  <c r="R66" i="47"/>
  <c r="Q66" i="47"/>
  <c r="P66" i="47"/>
  <c r="BM65" i="47"/>
  <c r="BK65" i="47"/>
  <c r="BL65" i="47" s="1"/>
  <c r="BJ65" i="47"/>
  <c r="BA65" i="47"/>
  <c r="AZ65" i="47"/>
  <c r="AW65" i="47"/>
  <c r="AV65" i="47"/>
  <c r="AU65" i="47"/>
  <c r="AT65" i="47"/>
  <c r="AQ65" i="47"/>
  <c r="AP65" i="47"/>
  <c r="AO65" i="47"/>
  <c r="AN65" i="47"/>
  <c r="AM65" i="47"/>
  <c r="AL65" i="47"/>
  <c r="AI65" i="47"/>
  <c r="AH65" i="47"/>
  <c r="AE65" i="47"/>
  <c r="AD65" i="47"/>
  <c r="W65" i="47"/>
  <c r="X65" i="47" s="1"/>
  <c r="V65" i="47"/>
  <c r="S65" i="47"/>
  <c r="R65" i="47"/>
  <c r="Q65" i="47"/>
  <c r="P65" i="47"/>
  <c r="P64" i="47" s="1"/>
  <c r="BE64" i="47"/>
  <c r="BD64" i="47"/>
  <c r="BC64" i="47"/>
  <c r="BB64" i="47"/>
  <c r="AS64" i="47"/>
  <c r="AW64" i="47" s="1"/>
  <c r="AR64" i="47"/>
  <c r="AV64" i="47" s="1"/>
  <c r="AQ64" i="47"/>
  <c r="AP64" i="47"/>
  <c r="AO64" i="47"/>
  <c r="AN64" i="47"/>
  <c r="AK64" i="47"/>
  <c r="AJ64" i="47"/>
  <c r="AG64" i="47"/>
  <c r="AF64" i="47"/>
  <c r="S64" i="47"/>
  <c r="R64" i="47"/>
  <c r="Q64" i="47"/>
  <c r="BA63" i="47"/>
  <c r="BI63" i="47" s="1"/>
  <c r="AZ63" i="47"/>
  <c r="BH63" i="47" s="1"/>
  <c r="AY63" i="47"/>
  <c r="AY59" i="47" s="1"/>
  <c r="AX63" i="47"/>
  <c r="BF63" i="47" s="1"/>
  <c r="AW63" i="47"/>
  <c r="AV63" i="47"/>
  <c r="AU63" i="47"/>
  <c r="AP63" i="47"/>
  <c r="BM63" i="47" s="1"/>
  <c r="AO63" i="47"/>
  <c r="AN63" i="47"/>
  <c r="AM63" i="47"/>
  <c r="AH63" i="47"/>
  <c r="BK63" i="47" s="1"/>
  <c r="AD63" i="47"/>
  <c r="BJ63" i="47" s="1"/>
  <c r="BN63" i="47" s="1"/>
  <c r="X63" i="47"/>
  <c r="W63" i="47"/>
  <c r="V63" i="47"/>
  <c r="S63" i="47"/>
  <c r="R63" i="47"/>
  <c r="Q63" i="47"/>
  <c r="P63" i="47"/>
  <c r="BM62" i="47"/>
  <c r="BK62" i="47"/>
  <c r="BL62" i="47" s="1"/>
  <c r="BJ62" i="47"/>
  <c r="BN62" i="47" s="1"/>
  <c r="BF62" i="47"/>
  <c r="BA62" i="47"/>
  <c r="BI62" i="47" s="1"/>
  <c r="AZ62" i="47"/>
  <c r="BH62" i="47" s="1"/>
  <c r="AY62" i="47"/>
  <c r="BG62" i="47" s="1"/>
  <c r="AX62" i="47"/>
  <c r="AW62" i="47"/>
  <c r="AV62" i="47"/>
  <c r="AU62" i="47"/>
  <c r="AT62" i="47"/>
  <c r="AO62" i="47"/>
  <c r="AN62" i="47"/>
  <c r="AM62" i="47"/>
  <c r="AL62" i="47"/>
  <c r="X62" i="47"/>
  <c r="W62" i="47"/>
  <c r="V62" i="47"/>
  <c r="S62" i="47"/>
  <c r="R62" i="47"/>
  <c r="BN61" i="47"/>
  <c r="BM61" i="47"/>
  <c r="BH61" i="47"/>
  <c r="BG61" i="47"/>
  <c r="BA61" i="47"/>
  <c r="BI61" i="47" s="1"/>
  <c r="AZ61" i="47"/>
  <c r="AY61" i="47"/>
  <c r="AW61" i="47"/>
  <c r="AV61" i="47"/>
  <c r="AU61" i="47"/>
  <c r="AP61" i="47"/>
  <c r="AT61" i="47" s="1"/>
  <c r="AO61" i="47"/>
  <c r="AN61" i="47"/>
  <c r="AM61" i="47"/>
  <c r="AH61" i="47"/>
  <c r="BK61" i="47" s="1"/>
  <c r="BL61" i="47" s="1"/>
  <c r="AD61" i="47"/>
  <c r="BJ61" i="47" s="1"/>
  <c r="W61" i="47"/>
  <c r="X61" i="47" s="1"/>
  <c r="V61" i="47"/>
  <c r="S61" i="47"/>
  <c r="R61" i="47"/>
  <c r="P61" i="47"/>
  <c r="BM60" i="47"/>
  <c r="BN60" i="47" s="1"/>
  <c r="BK60" i="47"/>
  <c r="BL60" i="47" s="1"/>
  <c r="BJ60" i="47"/>
  <c r="BH60" i="47"/>
  <c r="BG60" i="47"/>
  <c r="BA60" i="47"/>
  <c r="BI60" i="47" s="1"/>
  <c r="AZ60" i="47"/>
  <c r="AY60" i="47"/>
  <c r="AX60" i="47"/>
  <c r="AW60" i="47"/>
  <c r="AV60" i="47"/>
  <c r="AU60" i="47"/>
  <c r="AT60" i="47"/>
  <c r="AO60" i="47"/>
  <c r="AN60" i="47"/>
  <c r="AM60" i="47"/>
  <c r="AL60" i="47"/>
  <c r="X60" i="47"/>
  <c r="W60" i="47"/>
  <c r="V60" i="47"/>
  <c r="S60" i="47"/>
  <c r="R60" i="47"/>
  <c r="Q60" i="47"/>
  <c r="BE59" i="47"/>
  <c r="BD59" i="47"/>
  <c r="BC59" i="47"/>
  <c r="BB59" i="47"/>
  <c r="AZ59" i="47"/>
  <c r="AS59" i="47"/>
  <c r="AW59" i="47" s="1"/>
  <c r="AR59" i="47"/>
  <c r="AV59" i="47" s="1"/>
  <c r="AQ59" i="47"/>
  <c r="AU59" i="47" s="1"/>
  <c r="AP59" i="47"/>
  <c r="BM59" i="47" s="1"/>
  <c r="AN59" i="47"/>
  <c r="AM59" i="47"/>
  <c r="AK59" i="47"/>
  <c r="AJ59" i="47"/>
  <c r="AI59" i="47"/>
  <c r="AG59" i="47"/>
  <c r="AF59" i="47"/>
  <c r="AE59" i="47"/>
  <c r="S59" i="47"/>
  <c r="R59" i="47"/>
  <c r="Q59" i="47"/>
  <c r="P59" i="47"/>
  <c r="BM57" i="47"/>
  <c r="BN57" i="47" s="1"/>
  <c r="BA57" i="47"/>
  <c r="BI57" i="47" s="1"/>
  <c r="AZ57" i="47"/>
  <c r="BH57" i="47" s="1"/>
  <c r="AY57" i="47"/>
  <c r="BG57" i="47" s="1"/>
  <c r="AW57" i="47"/>
  <c r="AV57" i="47"/>
  <c r="AU57" i="47"/>
  <c r="AT57" i="47"/>
  <c r="AP57" i="47"/>
  <c r="AO57" i="47"/>
  <c r="AN57" i="47"/>
  <c r="AM57" i="47"/>
  <c r="AH57" i="47"/>
  <c r="AL57" i="47" s="1"/>
  <c r="AD57" i="47"/>
  <c r="BJ57" i="47" s="1"/>
  <c r="W57" i="47"/>
  <c r="V57" i="47"/>
  <c r="X57" i="47" s="1"/>
  <c r="S57" i="47"/>
  <c r="R57" i="47"/>
  <c r="Q57" i="47"/>
  <c r="P57" i="47"/>
  <c r="BJ56" i="47"/>
  <c r="BI56" i="47"/>
  <c r="BH56" i="47"/>
  <c r="BG56" i="47"/>
  <c r="BA56" i="47"/>
  <c r="AZ56" i="47"/>
  <c r="AY56" i="47"/>
  <c r="AY53" i="47" s="1"/>
  <c r="AW56" i="47"/>
  <c r="AV56" i="47"/>
  <c r="AU56" i="47"/>
  <c r="AP56" i="47"/>
  <c r="AP53" i="47" s="1"/>
  <c r="AO56" i="47"/>
  <c r="AN56" i="47"/>
  <c r="AM56" i="47"/>
  <c r="AL56" i="47"/>
  <c r="AH56" i="47"/>
  <c r="AD56" i="47"/>
  <c r="AD53" i="47" s="1"/>
  <c r="W56" i="47"/>
  <c r="X56" i="47" s="1"/>
  <c r="V56" i="47"/>
  <c r="S56" i="47"/>
  <c r="R56" i="47"/>
  <c r="Q56" i="47"/>
  <c r="Q53" i="47" s="1"/>
  <c r="P56" i="47"/>
  <c r="P53" i="47" s="1"/>
  <c r="BM55" i="47"/>
  <c r="BN55" i="47" s="1"/>
  <c r="BK55" i="47"/>
  <c r="BL55" i="47" s="1"/>
  <c r="BJ55" i="47"/>
  <c r="BG55" i="47"/>
  <c r="BF55" i="47"/>
  <c r="BA55" i="47"/>
  <c r="BI55" i="47" s="1"/>
  <c r="AZ55" i="47"/>
  <c r="BH55" i="47" s="1"/>
  <c r="AY55" i="47"/>
  <c r="AX55" i="47"/>
  <c r="AW55" i="47"/>
  <c r="AV55" i="47"/>
  <c r="AU55" i="47"/>
  <c r="AT55" i="47"/>
  <c r="AP55" i="47"/>
  <c r="AO55" i="47"/>
  <c r="AN55" i="47"/>
  <c r="AM55" i="47"/>
  <c r="AL55" i="47"/>
  <c r="AH55" i="47"/>
  <c r="AD55" i="47"/>
  <c r="W55" i="47"/>
  <c r="V55" i="47"/>
  <c r="S55" i="47"/>
  <c r="R55" i="47"/>
  <c r="R53" i="47" s="1"/>
  <c r="Q55" i="47"/>
  <c r="P55" i="47"/>
  <c r="BM54" i="47"/>
  <c r="BN54" i="47" s="1"/>
  <c r="BL54" i="47"/>
  <c r="BK54" i="47"/>
  <c r="BJ54" i="47"/>
  <c r="BH54" i="47"/>
  <c r="BG54" i="47"/>
  <c r="BA54" i="47"/>
  <c r="AZ54" i="47"/>
  <c r="AY54" i="47"/>
  <c r="AX54" i="47"/>
  <c r="AW54" i="47"/>
  <c r="AV54" i="47"/>
  <c r="AU54" i="47"/>
  <c r="AT54" i="47"/>
  <c r="AO54" i="47"/>
  <c r="AN54" i="47"/>
  <c r="AM54" i="47"/>
  <c r="AL54" i="47"/>
  <c r="X54" i="47"/>
  <c r="W54" i="47"/>
  <c r="V54" i="47"/>
  <c r="S54" i="47"/>
  <c r="S53" i="47" s="1"/>
  <c r="R54" i="47"/>
  <c r="Q54" i="47"/>
  <c r="BE53" i="47"/>
  <c r="BD53" i="47"/>
  <c r="BC53" i="47"/>
  <c r="BG53" i="47" s="1"/>
  <c r="BB53" i="47"/>
  <c r="AS53" i="47"/>
  <c r="AR53" i="47"/>
  <c r="AR50" i="47" s="1"/>
  <c r="AR49" i="47" s="1"/>
  <c r="AQ53" i="47"/>
  <c r="AK53" i="47"/>
  <c r="AJ53" i="47"/>
  <c r="AI53" i="47"/>
  <c r="AG53" i="47"/>
  <c r="AO53" i="47" s="1"/>
  <c r="AF53" i="47"/>
  <c r="AN53" i="47" s="1"/>
  <c r="AE53" i="47"/>
  <c r="AM53" i="47" s="1"/>
  <c r="BM52" i="47"/>
  <c r="BK52" i="47"/>
  <c r="BJ52" i="47"/>
  <c r="BN52" i="47" s="1"/>
  <c r="BH52" i="47"/>
  <c r="BG52" i="47"/>
  <c r="BF52" i="47"/>
  <c r="BA52" i="47"/>
  <c r="AZ52" i="47"/>
  <c r="AY52" i="47"/>
  <c r="AX52" i="47"/>
  <c r="AW52" i="47"/>
  <c r="AV52" i="47"/>
  <c r="AU52" i="47"/>
  <c r="AT52" i="47"/>
  <c r="AO52" i="47"/>
  <c r="AN52" i="47"/>
  <c r="AM52" i="47"/>
  <c r="AL52" i="47"/>
  <c r="X52" i="47"/>
  <c r="X51" i="47" s="1"/>
  <c r="W52" i="47"/>
  <c r="V52" i="47"/>
  <c r="S52" i="47"/>
  <c r="R52" i="47"/>
  <c r="Q52" i="47"/>
  <c r="BM51" i="47"/>
  <c r="BJ51" i="47"/>
  <c r="BH51" i="47"/>
  <c r="BE51" i="47"/>
  <c r="BD51" i="47"/>
  <c r="BC51" i="47"/>
  <c r="BB51" i="47"/>
  <c r="AZ51" i="47"/>
  <c r="AY51" i="47"/>
  <c r="BG51" i="47" s="1"/>
  <c r="AX51" i="47"/>
  <c r="AW51" i="47"/>
  <c r="AV51" i="47"/>
  <c r="AU51" i="47"/>
  <c r="AS51" i="47"/>
  <c r="AR51" i="47"/>
  <c r="AQ51" i="47"/>
  <c r="AP51" i="47"/>
  <c r="AT51" i="47" s="1"/>
  <c r="AL51" i="47"/>
  <c r="AK51" i="47"/>
  <c r="AJ51" i="47"/>
  <c r="AI51" i="47"/>
  <c r="AM51" i="47" s="1"/>
  <c r="AH51" i="47"/>
  <c r="AG51" i="47"/>
  <c r="AF51" i="47"/>
  <c r="AE51" i="47"/>
  <c r="AD51" i="47"/>
  <c r="S51" i="47"/>
  <c r="R51" i="47"/>
  <c r="Q51" i="47"/>
  <c r="P51" i="47"/>
  <c r="BL50" i="47"/>
  <c r="BK50" i="47"/>
  <c r="BJ50" i="47"/>
  <c r="AZ50" i="47"/>
  <c r="BH50" i="47" s="1"/>
  <c r="AY50" i="47"/>
  <c r="BG50" i="47" s="1"/>
  <c r="AX50" i="47"/>
  <c r="BF50" i="47" s="1"/>
  <c r="AV50" i="47"/>
  <c r="AU50" i="47"/>
  <c r="AT50" i="47"/>
  <c r="AO50" i="47"/>
  <c r="AN50" i="47"/>
  <c r="AM50" i="47"/>
  <c r="AL50" i="47"/>
  <c r="W50" i="47"/>
  <c r="X50" i="47" s="1"/>
  <c r="V50" i="47"/>
  <c r="S50" i="47"/>
  <c r="R50" i="47"/>
  <c r="BL49" i="47"/>
  <c r="BK49" i="47"/>
  <c r="BJ49" i="47"/>
  <c r="BF49" i="47"/>
  <c r="AZ49" i="47"/>
  <c r="BH49" i="47" s="1"/>
  <c r="AY49" i="47"/>
  <c r="BG49" i="47" s="1"/>
  <c r="AX49" i="47"/>
  <c r="AV49" i="47"/>
  <c r="AU49" i="47"/>
  <c r="AT49" i="47"/>
  <c r="AO49" i="47"/>
  <c r="AN49" i="47"/>
  <c r="AM49" i="47"/>
  <c r="AL49" i="47"/>
  <c r="X49" i="47"/>
  <c r="W49" i="47"/>
  <c r="V49" i="47"/>
  <c r="S49" i="47"/>
  <c r="R49" i="47"/>
  <c r="Q49" i="47"/>
  <c r="BK48" i="47"/>
  <c r="BL48" i="47" s="1"/>
  <c r="BJ48" i="47"/>
  <c r="AY48" i="47"/>
  <c r="BG48" i="47" s="1"/>
  <c r="AX48" i="47"/>
  <c r="BF48" i="47" s="1"/>
  <c r="AU48" i="47"/>
  <c r="AT48" i="47"/>
  <c r="AR48" i="47"/>
  <c r="AO48" i="47"/>
  <c r="AN48" i="47"/>
  <c r="AM48" i="47"/>
  <c r="AL48" i="47"/>
  <c r="X48" i="47"/>
  <c r="W48" i="47"/>
  <c r="V48" i="47"/>
  <c r="S48" i="47"/>
  <c r="R48" i="47"/>
  <c r="Q48" i="47"/>
  <c r="P48" i="47"/>
  <c r="BN47" i="47"/>
  <c r="BM47" i="47"/>
  <c r="BK47" i="47"/>
  <c r="BL47" i="47" s="1"/>
  <c r="BJ47" i="47"/>
  <c r="BI47" i="47"/>
  <c r="BH47" i="47"/>
  <c r="BA47" i="47"/>
  <c r="AZ47" i="47"/>
  <c r="AY47" i="47"/>
  <c r="BG47" i="47" s="1"/>
  <c r="AX47" i="47"/>
  <c r="BF47" i="47" s="1"/>
  <c r="AW47" i="47"/>
  <c r="AV47" i="47"/>
  <c r="AU47" i="47"/>
  <c r="AT47" i="47"/>
  <c r="AO47" i="47"/>
  <c r="AN47" i="47"/>
  <c r="AM47" i="47"/>
  <c r="AL47" i="47"/>
  <c r="W47" i="47"/>
  <c r="V47" i="47"/>
  <c r="S47" i="47"/>
  <c r="R47" i="47"/>
  <c r="P47" i="47"/>
  <c r="BM46" i="47"/>
  <c r="BN46" i="47" s="1"/>
  <c r="BK46" i="47"/>
  <c r="BL46" i="47" s="1"/>
  <c r="BJ46" i="47"/>
  <c r="BH46" i="47"/>
  <c r="BG46" i="47"/>
  <c r="BA46" i="47"/>
  <c r="BI46" i="47" s="1"/>
  <c r="AZ46" i="47"/>
  <c r="AY46" i="47"/>
  <c r="AX46" i="47"/>
  <c r="BF46" i="47" s="1"/>
  <c r="AW46" i="47"/>
  <c r="AV46" i="47"/>
  <c r="AU46" i="47"/>
  <c r="AT46" i="47"/>
  <c r="AO46" i="47"/>
  <c r="AN46" i="47"/>
  <c r="AM46" i="47"/>
  <c r="AL46" i="47"/>
  <c r="X46" i="47"/>
  <c r="W46" i="47"/>
  <c r="V46" i="47"/>
  <c r="S46" i="47"/>
  <c r="R46" i="47"/>
  <c r="Q46" i="47"/>
  <c r="BN45" i="47"/>
  <c r="BI45" i="47"/>
  <c r="BH45" i="47"/>
  <c r="BA45" i="47"/>
  <c r="AZ45" i="47"/>
  <c r="AY45" i="47"/>
  <c r="BG45" i="47" s="1"/>
  <c r="AX45" i="47"/>
  <c r="BF45" i="47" s="1"/>
  <c r="AW45" i="47"/>
  <c r="AV45" i="47"/>
  <c r="AQ45" i="47"/>
  <c r="AP45" i="47"/>
  <c r="BM45" i="47" s="1"/>
  <c r="AO45" i="47"/>
  <c r="AN45" i="47"/>
  <c r="AM45" i="47"/>
  <c r="AL45" i="47"/>
  <c r="AI45" i="47"/>
  <c r="AI43" i="47" s="1"/>
  <c r="AH45" i="47"/>
  <c r="AE45" i="47"/>
  <c r="AU45" i="47" s="1"/>
  <c r="AD45" i="47"/>
  <c r="BJ45" i="47" s="1"/>
  <c r="X45" i="47"/>
  <c r="W45" i="47"/>
  <c r="V45" i="47"/>
  <c r="S45" i="47"/>
  <c r="R45" i="47"/>
  <c r="Q45" i="47"/>
  <c r="P45" i="47"/>
  <c r="P43" i="47" s="1"/>
  <c r="P42" i="47" s="1"/>
  <c r="BM44" i="47"/>
  <c r="BK44" i="47"/>
  <c r="BI44" i="47"/>
  <c r="BH44" i="47"/>
  <c r="BA44" i="47"/>
  <c r="AZ44" i="47"/>
  <c r="AY44" i="47"/>
  <c r="AX44" i="47"/>
  <c r="AW44" i="47"/>
  <c r="AV44" i="47"/>
  <c r="AT44" i="47"/>
  <c r="AQ44" i="47"/>
  <c r="AO44" i="47"/>
  <c r="AN44" i="47"/>
  <c r="AL44" i="47"/>
  <c r="AI44" i="47"/>
  <c r="AE44" i="47"/>
  <c r="AM44" i="47" s="1"/>
  <c r="W44" i="47"/>
  <c r="X44" i="47" s="1"/>
  <c r="V44" i="47"/>
  <c r="S44" i="47"/>
  <c r="S43" i="47" s="1"/>
  <c r="R44" i="47"/>
  <c r="Q44" i="47"/>
  <c r="BE43" i="47"/>
  <c r="BE42" i="47" s="1"/>
  <c r="BD43" i="47"/>
  <c r="BD42" i="47" s="1"/>
  <c r="BC43" i="47"/>
  <c r="BB43" i="47"/>
  <c r="AQ43" i="47"/>
  <c r="AP43" i="47"/>
  <c r="AK43" i="47"/>
  <c r="AJ43" i="47"/>
  <c r="AG43" i="47"/>
  <c r="AF43" i="47"/>
  <c r="AE43" i="47"/>
  <c r="AU43" i="47" s="1"/>
  <c r="AD43" i="47"/>
  <c r="BJ43" i="47" s="1"/>
  <c r="BC42" i="47"/>
  <c r="BB42" i="47"/>
  <c r="AQ42" i="47"/>
  <c r="S42" i="47"/>
  <c r="AB41" i="47"/>
  <c r="AC41" i="47" s="1"/>
  <c r="Z41" i="47"/>
  <c r="AA41" i="47" s="1"/>
  <c r="BM40" i="47"/>
  <c r="BG40" i="47"/>
  <c r="BA40" i="47"/>
  <c r="BI40" i="47" s="1"/>
  <c r="AZ40" i="47"/>
  <c r="AY40" i="47"/>
  <c r="AW40" i="47"/>
  <c r="AV40" i="47"/>
  <c r="AU40" i="47"/>
  <c r="AP40" i="47"/>
  <c r="AO40" i="47"/>
  <c r="AN40" i="47"/>
  <c r="AM40" i="47"/>
  <c r="AH40" i="47"/>
  <c r="AD40" i="47"/>
  <c r="X40" i="47"/>
  <c r="W40" i="47"/>
  <c r="V40" i="47"/>
  <c r="S40" i="47"/>
  <c r="R40" i="47"/>
  <c r="Q40" i="47"/>
  <c r="P40" i="47"/>
  <c r="BM39" i="47"/>
  <c r="BK39" i="47"/>
  <c r="BL39" i="47" s="1"/>
  <c r="BJ39" i="47"/>
  <c r="BH39" i="47"/>
  <c r="BG39" i="47"/>
  <c r="BA39" i="47"/>
  <c r="AZ39" i="47"/>
  <c r="AY39" i="47"/>
  <c r="AY38" i="47" s="1"/>
  <c r="AX39" i="47"/>
  <c r="AW39" i="47"/>
  <c r="AV39" i="47"/>
  <c r="AU39" i="47"/>
  <c r="AT39" i="47"/>
  <c r="AP39" i="47"/>
  <c r="AO39" i="47"/>
  <c r="AN39" i="47"/>
  <c r="AM39" i="47"/>
  <c r="AL39" i="47"/>
  <c r="AH39" i="47"/>
  <c r="AD39" i="47"/>
  <c r="W39" i="47"/>
  <c r="X39" i="47" s="1"/>
  <c r="X38" i="47" s="1"/>
  <c r="V39" i="47"/>
  <c r="S39" i="47"/>
  <c r="S38" i="47" s="1"/>
  <c r="R39" i="47"/>
  <c r="R38" i="47" s="1"/>
  <c r="Q39" i="47"/>
  <c r="Q38" i="47" s="1"/>
  <c r="P39" i="47"/>
  <c r="BE38" i="47"/>
  <c r="BD38" i="47"/>
  <c r="BC38" i="47"/>
  <c r="BC29" i="47" s="1"/>
  <c r="BB38" i="47"/>
  <c r="AS38" i="47"/>
  <c r="AR38" i="47"/>
  <c r="AQ38" i="47"/>
  <c r="AP38" i="47"/>
  <c r="BM38" i="47" s="1"/>
  <c r="AK38" i="47"/>
  <c r="AJ38" i="47"/>
  <c r="AI38" i="47"/>
  <c r="AH38" i="47"/>
  <c r="AG38" i="47"/>
  <c r="AF38" i="47"/>
  <c r="AN38" i="47" s="1"/>
  <c r="AE38" i="47"/>
  <c r="AE29" i="47" s="1"/>
  <c r="P38" i="47"/>
  <c r="BK37" i="47"/>
  <c r="BJ37" i="47"/>
  <c r="AY37" i="47"/>
  <c r="BG37" i="47" s="1"/>
  <c r="AX37" i="47"/>
  <c r="AX32" i="47" s="1"/>
  <c r="BF32" i="47" s="1"/>
  <c r="AU37" i="47"/>
  <c r="AT37" i="47"/>
  <c r="AO37" i="47"/>
  <c r="AN37" i="47"/>
  <c r="AM37" i="47"/>
  <c r="AL37" i="47"/>
  <c r="W37" i="47"/>
  <c r="X37" i="47" s="1"/>
  <c r="V37" i="47"/>
  <c r="S37" i="47"/>
  <c r="R37" i="47"/>
  <c r="Q37" i="47"/>
  <c r="P37" i="47"/>
  <c r="BL36" i="47"/>
  <c r="BK36" i="47"/>
  <c r="BJ36" i="47"/>
  <c r="AY36" i="47"/>
  <c r="BG36" i="47" s="1"/>
  <c r="AX36" i="47"/>
  <c r="BF36" i="47" s="1"/>
  <c r="AU36" i="47"/>
  <c r="AT36" i="47"/>
  <c r="AO36" i="47"/>
  <c r="AN36" i="47"/>
  <c r="AM36" i="47"/>
  <c r="AL36" i="47"/>
  <c r="X36" i="47"/>
  <c r="W36" i="47"/>
  <c r="V36" i="47"/>
  <c r="S36" i="47"/>
  <c r="R36" i="47"/>
  <c r="BM35" i="47"/>
  <c r="BK35" i="47"/>
  <c r="BL35" i="47" s="1"/>
  <c r="BJ35" i="47"/>
  <c r="BG35" i="47"/>
  <c r="BF35" i="47"/>
  <c r="BA35" i="47"/>
  <c r="BI35" i="47" s="1"/>
  <c r="AZ35" i="47"/>
  <c r="BH35" i="47" s="1"/>
  <c r="AY35" i="47"/>
  <c r="AX35" i="47"/>
  <c r="AW35" i="47"/>
  <c r="AV35" i="47"/>
  <c r="AU35" i="47"/>
  <c r="AT35" i="47"/>
  <c r="AO35" i="47"/>
  <c r="AN35" i="47"/>
  <c r="AM35" i="47"/>
  <c r="AL35" i="47"/>
  <c r="W35" i="47"/>
  <c r="X35" i="47" s="1"/>
  <c r="V35" i="47"/>
  <c r="S35" i="47"/>
  <c r="R35" i="47"/>
  <c r="Q35" i="47"/>
  <c r="P35" i="47"/>
  <c r="BM34" i="47"/>
  <c r="BK34" i="47"/>
  <c r="BJ34" i="47"/>
  <c r="BN34" i="47" s="1"/>
  <c r="BH34" i="47"/>
  <c r="BA34" i="47"/>
  <c r="BI34" i="47" s="1"/>
  <c r="AZ34" i="47"/>
  <c r="AY34" i="47"/>
  <c r="BG34" i="47" s="1"/>
  <c r="AX34" i="47"/>
  <c r="BF34" i="47" s="1"/>
  <c r="AW34" i="47"/>
  <c r="AV34" i="47"/>
  <c r="AU34" i="47"/>
  <c r="AT34" i="47"/>
  <c r="AO34" i="47"/>
  <c r="AN34" i="47"/>
  <c r="AM34" i="47"/>
  <c r="AL34" i="47"/>
  <c r="X34" i="47"/>
  <c r="W34" i="47"/>
  <c r="V34" i="47"/>
  <c r="S34" i="47"/>
  <c r="R34" i="47"/>
  <c r="Q34" i="47"/>
  <c r="P34" i="47"/>
  <c r="BM33" i="47"/>
  <c r="BN33" i="47" s="1"/>
  <c r="BL33" i="47"/>
  <c r="BK33" i="47"/>
  <c r="BJ33" i="47"/>
  <c r="BI33" i="47"/>
  <c r="BH33" i="47"/>
  <c r="BG33" i="47"/>
  <c r="BF33" i="47"/>
  <c r="BA33" i="47"/>
  <c r="AZ33" i="47"/>
  <c r="AY33" i="47"/>
  <c r="AX33" i="47"/>
  <c r="AW33" i="47"/>
  <c r="AV33" i="47"/>
  <c r="AU33" i="47"/>
  <c r="AT33" i="47"/>
  <c r="AO33" i="47"/>
  <c r="AN33" i="47"/>
  <c r="AM33" i="47"/>
  <c r="AL33" i="47"/>
  <c r="W33" i="47"/>
  <c r="X33" i="47" s="1"/>
  <c r="V33" i="47"/>
  <c r="S33" i="47"/>
  <c r="R33" i="47"/>
  <c r="Q33" i="47"/>
  <c r="P33" i="47"/>
  <c r="BK32" i="47"/>
  <c r="BL32" i="47" s="1"/>
  <c r="BJ32" i="47"/>
  <c r="BE32" i="47"/>
  <c r="BD32" i="47"/>
  <c r="BC32" i="47"/>
  <c r="BB32" i="47"/>
  <c r="AU32" i="47"/>
  <c r="AT32" i="47"/>
  <c r="AQ32" i="47"/>
  <c r="AP32" i="47"/>
  <c r="AM32" i="47"/>
  <c r="AL32" i="47"/>
  <c r="AK32" i="47"/>
  <c r="AO32" i="47" s="1"/>
  <c r="AJ32" i="47"/>
  <c r="AN32" i="47" s="1"/>
  <c r="AI32" i="47"/>
  <c r="AH32" i="47"/>
  <c r="AG32" i="47"/>
  <c r="AF32" i="47"/>
  <c r="AE32" i="47"/>
  <c r="AD32" i="47"/>
  <c r="S32" i="47"/>
  <c r="R32" i="47"/>
  <c r="R29" i="47" s="1"/>
  <c r="Q32" i="47"/>
  <c r="P32" i="47"/>
  <c r="BM31" i="47"/>
  <c r="BA31" i="47"/>
  <c r="BI31" i="47" s="1"/>
  <c r="AZ31" i="47"/>
  <c r="BH31" i="47" s="1"/>
  <c r="AY31" i="47"/>
  <c r="AY30" i="47" s="1"/>
  <c r="AX31" i="47"/>
  <c r="BF31" i="47" s="1"/>
  <c r="AW31" i="47"/>
  <c r="AV31" i="47"/>
  <c r="AU31" i="47"/>
  <c r="AP31" i="47"/>
  <c r="AO31" i="47"/>
  <c r="AN31" i="47"/>
  <c r="AM31" i="47"/>
  <c r="AH31" i="47"/>
  <c r="BK31" i="47" s="1"/>
  <c r="AD31" i="47"/>
  <c r="W31" i="47"/>
  <c r="X31" i="47" s="1"/>
  <c r="X30" i="47" s="1"/>
  <c r="V31" i="47"/>
  <c r="S31" i="47"/>
  <c r="S30" i="47" s="1"/>
  <c r="S29" i="47" s="1"/>
  <c r="R31" i="47"/>
  <c r="Q31" i="47"/>
  <c r="P31" i="47"/>
  <c r="BM30" i="47"/>
  <c r="BE30" i="47"/>
  <c r="BD30" i="47"/>
  <c r="BC30" i="47"/>
  <c r="BB30" i="47"/>
  <c r="AW30" i="47"/>
  <c r="AV30" i="47"/>
  <c r="AU30" i="47"/>
  <c r="AS30" i="47"/>
  <c r="AR30" i="47"/>
  <c r="AQ30" i="47"/>
  <c r="AP30" i="47"/>
  <c r="AK30" i="47"/>
  <c r="AJ30" i="47"/>
  <c r="AI30" i="47"/>
  <c r="AI29" i="47" s="1"/>
  <c r="AH30" i="47"/>
  <c r="AG30" i="47"/>
  <c r="AF30" i="47"/>
  <c r="AE30" i="47"/>
  <c r="R30" i="47"/>
  <c r="Q30" i="47"/>
  <c r="P30" i="47"/>
  <c r="BE29" i="47"/>
  <c r="BD29" i="47"/>
  <c r="BB29" i="47"/>
  <c r="AQ29" i="47"/>
  <c r="AP29" i="47"/>
  <c r="AM29" i="47"/>
  <c r="BM28" i="47"/>
  <c r="BK28" i="47"/>
  <c r="BL28" i="47" s="1"/>
  <c r="BJ28" i="47"/>
  <c r="BH28" i="47"/>
  <c r="BG28" i="47"/>
  <c r="BA28" i="47"/>
  <c r="BI28" i="47" s="1"/>
  <c r="AZ28" i="47"/>
  <c r="AY28" i="47"/>
  <c r="AX28" i="47"/>
  <c r="BF28" i="47" s="1"/>
  <c r="AW28" i="47"/>
  <c r="AV28" i="47"/>
  <c r="AU28" i="47"/>
  <c r="AT28" i="47"/>
  <c r="AP28" i="47"/>
  <c r="AO28" i="47"/>
  <c r="AN28" i="47"/>
  <c r="AM28" i="47"/>
  <c r="AL28" i="47"/>
  <c r="AH28" i="47"/>
  <c r="AD28" i="47"/>
  <c r="W28" i="47"/>
  <c r="V28" i="47"/>
  <c r="S28" i="47"/>
  <c r="R28" i="47"/>
  <c r="Q28" i="47"/>
  <c r="P28" i="47"/>
  <c r="BA27" i="47"/>
  <c r="BI27" i="47" s="1"/>
  <c r="AZ27" i="47"/>
  <c r="BH27" i="47" s="1"/>
  <c r="AY27" i="47"/>
  <c r="BG27" i="47" s="1"/>
  <c r="AW27" i="47"/>
  <c r="AV27" i="47"/>
  <c r="AU27" i="47"/>
  <c r="AP27" i="47"/>
  <c r="AO27" i="47"/>
  <c r="AN27" i="47"/>
  <c r="AM27" i="47"/>
  <c r="AH27" i="47"/>
  <c r="AD27" i="47"/>
  <c r="BJ27" i="47" s="1"/>
  <c r="X27" i="47"/>
  <c r="W27" i="47"/>
  <c r="V27" i="47"/>
  <c r="S27" i="47"/>
  <c r="R27" i="47"/>
  <c r="Q27" i="47"/>
  <c r="P27" i="47"/>
  <c r="BK26" i="47"/>
  <c r="BI26" i="47"/>
  <c r="BA26" i="47"/>
  <c r="AZ26" i="47"/>
  <c r="BH26" i="47" s="1"/>
  <c r="AY26" i="47"/>
  <c r="BG26" i="47" s="1"/>
  <c r="AW26" i="47"/>
  <c r="AV26" i="47"/>
  <c r="AU26" i="47"/>
  <c r="AP26" i="47"/>
  <c r="AX26" i="47" s="1"/>
  <c r="BF26" i="47" s="1"/>
  <c r="AO26" i="47"/>
  <c r="AN26" i="47"/>
  <c r="AM26" i="47"/>
  <c r="AH26" i="47"/>
  <c r="AD26" i="47"/>
  <c r="BJ26" i="47" s="1"/>
  <c r="X26" i="47"/>
  <c r="W26" i="47"/>
  <c r="V26" i="47"/>
  <c r="S26" i="47"/>
  <c r="R26" i="47"/>
  <c r="Q26" i="47"/>
  <c r="P26" i="47"/>
  <c r="BG25" i="47"/>
  <c r="BA25" i="47"/>
  <c r="BI25" i="47" s="1"/>
  <c r="AZ25" i="47"/>
  <c r="BH25" i="47" s="1"/>
  <c r="AY25" i="47"/>
  <c r="AW25" i="47"/>
  <c r="AV25" i="47"/>
  <c r="AU25" i="47"/>
  <c r="AP25" i="47"/>
  <c r="BM25" i="47" s="1"/>
  <c r="AO25" i="47"/>
  <c r="AN25" i="47"/>
  <c r="AM25" i="47"/>
  <c r="AH25" i="47"/>
  <c r="AD25" i="47"/>
  <c r="X25" i="47"/>
  <c r="W25" i="47"/>
  <c r="V25" i="47"/>
  <c r="S25" i="47"/>
  <c r="R25" i="47"/>
  <c r="Q25" i="47"/>
  <c r="P25" i="47"/>
  <c r="BK24" i="47"/>
  <c r="BL24" i="47" s="1"/>
  <c r="BJ24" i="47"/>
  <c r="BA24" i="47"/>
  <c r="BI24" i="47" s="1"/>
  <c r="AZ24" i="47"/>
  <c r="BH24" i="47" s="1"/>
  <c r="AY24" i="47"/>
  <c r="BG24" i="47" s="1"/>
  <c r="AW24" i="47"/>
  <c r="AV24" i="47"/>
  <c r="AU24" i="47"/>
  <c r="AT24" i="47"/>
  <c r="AP24" i="47"/>
  <c r="AP22" i="47" s="1"/>
  <c r="BM22" i="47" s="1"/>
  <c r="AO24" i="47"/>
  <c r="AN24" i="47"/>
  <c r="AM24" i="47"/>
  <c r="AL24" i="47"/>
  <c r="AH24" i="47"/>
  <c r="AD24" i="47"/>
  <c r="W24" i="47"/>
  <c r="V24" i="47"/>
  <c r="S24" i="47"/>
  <c r="R24" i="47"/>
  <c r="Q24" i="47"/>
  <c r="P24" i="47"/>
  <c r="BM23" i="47"/>
  <c r="BN23" i="47" s="1"/>
  <c r="BJ23" i="47"/>
  <c r="BG23" i="47"/>
  <c r="BA23" i="47"/>
  <c r="AZ23" i="47"/>
  <c r="AY23" i="47"/>
  <c r="AW23" i="47"/>
  <c r="AV23" i="47"/>
  <c r="AU23" i="47"/>
  <c r="AT23" i="47"/>
  <c r="AP23" i="47"/>
  <c r="AO23" i="47"/>
  <c r="AN23" i="47"/>
  <c r="AM23" i="47"/>
  <c r="AH23" i="47"/>
  <c r="AX23" i="47" s="1"/>
  <c r="AD23" i="47"/>
  <c r="W23" i="47"/>
  <c r="V23" i="47"/>
  <c r="S23" i="47"/>
  <c r="S22" i="47" s="1"/>
  <c r="R23" i="47"/>
  <c r="R22" i="47" s="1"/>
  <c r="Q23" i="47"/>
  <c r="P23" i="47"/>
  <c r="BE22" i="47"/>
  <c r="BD22" i="47"/>
  <c r="BC22" i="47"/>
  <c r="BB22" i="47"/>
  <c r="AV22" i="47"/>
  <c r="AU22" i="47"/>
  <c r="AS22" i="47"/>
  <c r="AR22" i="47"/>
  <c r="AQ22" i="47"/>
  <c r="AK22" i="47"/>
  <c r="AJ22" i="47"/>
  <c r="AI22" i="47"/>
  <c r="AM22" i="47" s="1"/>
  <c r="AG22" i="47"/>
  <c r="AO22" i="47" s="1"/>
  <c r="AF22" i="47"/>
  <c r="AN22" i="47" s="1"/>
  <c r="AE22" i="47"/>
  <c r="BM21" i="47"/>
  <c r="BK21" i="47"/>
  <c r="BJ21" i="47"/>
  <c r="BN21" i="47" s="1"/>
  <c r="BI21" i="47"/>
  <c r="BH21" i="47"/>
  <c r="BG21" i="47"/>
  <c r="BF21" i="47"/>
  <c r="BA21" i="47"/>
  <c r="AZ21" i="47"/>
  <c r="AY21" i="47"/>
  <c r="AX21" i="47"/>
  <c r="AW21" i="47"/>
  <c r="AV21" i="47"/>
  <c r="AU21" i="47"/>
  <c r="AT21" i="47"/>
  <c r="AO21" i="47"/>
  <c r="AN21" i="47"/>
  <c r="AM21" i="47"/>
  <c r="AL21" i="47"/>
  <c r="X21" i="47"/>
  <c r="W21" i="47"/>
  <c r="V21" i="47"/>
  <c r="S21" i="47"/>
  <c r="R21" i="47"/>
  <c r="Q21" i="47"/>
  <c r="BM20" i="47"/>
  <c r="BK20" i="47"/>
  <c r="BL20" i="47" s="1"/>
  <c r="BJ20" i="47"/>
  <c r="BI20" i="47"/>
  <c r="BA20" i="47"/>
  <c r="AZ20" i="47"/>
  <c r="BH20" i="47" s="1"/>
  <c r="AY20" i="47"/>
  <c r="BG20" i="47" s="1"/>
  <c r="AX20" i="47"/>
  <c r="BF20" i="47" s="1"/>
  <c r="AW20" i="47"/>
  <c r="AV20" i="47"/>
  <c r="AU20" i="47"/>
  <c r="AT20" i="47"/>
  <c r="AO20" i="47"/>
  <c r="AN20" i="47"/>
  <c r="AM20" i="47"/>
  <c r="AL20" i="47"/>
  <c r="W20" i="47"/>
  <c r="X20" i="47" s="1"/>
  <c r="V20" i="47"/>
  <c r="S20" i="47"/>
  <c r="R20" i="47"/>
  <c r="BM19" i="47"/>
  <c r="BK19" i="47"/>
  <c r="BL19" i="47" s="1"/>
  <c r="BJ19" i="47"/>
  <c r="BG19" i="47"/>
  <c r="BF19" i="47"/>
  <c r="BA19" i="47"/>
  <c r="BI19" i="47" s="1"/>
  <c r="AZ19" i="47"/>
  <c r="AY19" i="47"/>
  <c r="AY18" i="47" s="1"/>
  <c r="AX19" i="47"/>
  <c r="AW19" i="47"/>
  <c r="AV19" i="47"/>
  <c r="AU19" i="47"/>
  <c r="AT19" i="47"/>
  <c r="AO19" i="47"/>
  <c r="AN19" i="47"/>
  <c r="AM19" i="47"/>
  <c r="AL19" i="47"/>
  <c r="W19" i="47"/>
  <c r="X19" i="47" s="1"/>
  <c r="V19" i="47"/>
  <c r="S19" i="47"/>
  <c r="S18" i="47" s="1"/>
  <c r="R19" i="47"/>
  <c r="R18" i="47" s="1"/>
  <c r="Q19" i="47"/>
  <c r="Q18" i="47" s="1"/>
  <c r="BM18" i="47"/>
  <c r="BI18" i="47"/>
  <c r="BG18" i="47"/>
  <c r="BE18" i="47"/>
  <c r="BD18" i="47"/>
  <c r="BC18" i="47"/>
  <c r="BB18" i="47"/>
  <c r="BA18" i="47"/>
  <c r="AX18" i="47"/>
  <c r="BF18" i="47" s="1"/>
  <c r="AS18" i="47"/>
  <c r="AR18" i="47"/>
  <c r="AQ18" i="47"/>
  <c r="AP18" i="47"/>
  <c r="AK18" i="47"/>
  <c r="AJ18" i="47"/>
  <c r="AI18" i="47"/>
  <c r="AH18" i="47"/>
  <c r="AG18" i="47"/>
  <c r="AF18" i="47"/>
  <c r="AE18" i="47"/>
  <c r="AU18" i="47" s="1"/>
  <c r="AD18" i="47"/>
  <c r="AT18" i="47" s="1"/>
  <c r="P18" i="47"/>
  <c r="BM17" i="47"/>
  <c r="BK17" i="47"/>
  <c r="BL17" i="47" s="1"/>
  <c r="BJ17" i="47"/>
  <c r="BI17" i="47"/>
  <c r="BG17" i="47"/>
  <c r="BA17" i="47"/>
  <c r="AZ17" i="47"/>
  <c r="BH17" i="47" s="1"/>
  <c r="AY17" i="47"/>
  <c r="AX17" i="47"/>
  <c r="BF17" i="47" s="1"/>
  <c r="AW17" i="47"/>
  <c r="AV17" i="47"/>
  <c r="AU17" i="47"/>
  <c r="AT17" i="47"/>
  <c r="AO17" i="47"/>
  <c r="AN17" i="47"/>
  <c r="AM17" i="47"/>
  <c r="AL17" i="47"/>
  <c r="W17" i="47"/>
  <c r="X17" i="47" s="1"/>
  <c r="V17" i="47"/>
  <c r="S17" i="47"/>
  <c r="R17" i="47"/>
  <c r="Q17" i="47"/>
  <c r="P17" i="47"/>
  <c r="BM16" i="47"/>
  <c r="BN16" i="47" s="1"/>
  <c r="BK16" i="47"/>
  <c r="BL16" i="47" s="1"/>
  <c r="BJ16" i="47"/>
  <c r="BH16" i="47"/>
  <c r="BG16" i="47"/>
  <c r="BF16" i="47"/>
  <c r="BA16" i="47"/>
  <c r="BI16" i="47" s="1"/>
  <c r="AZ16" i="47"/>
  <c r="AY16" i="47"/>
  <c r="AX16" i="47"/>
  <c r="AW16" i="47"/>
  <c r="AV16" i="47"/>
  <c r="AU16" i="47"/>
  <c r="AT16" i="47"/>
  <c r="AO16" i="47"/>
  <c r="AN16" i="47"/>
  <c r="AM16" i="47"/>
  <c r="AL16" i="47"/>
  <c r="X16" i="47"/>
  <c r="W16" i="47"/>
  <c r="V16" i="47"/>
  <c r="S16" i="47"/>
  <c r="R16" i="47"/>
  <c r="Q16" i="47"/>
  <c r="BM15" i="47"/>
  <c r="BK15" i="47"/>
  <c r="BJ15" i="47"/>
  <c r="BN15" i="47" s="1"/>
  <c r="BI15" i="47"/>
  <c r="BH15" i="47"/>
  <c r="BA15" i="47"/>
  <c r="AZ15" i="47"/>
  <c r="AY15" i="47"/>
  <c r="BG15" i="47" s="1"/>
  <c r="AX15" i="47"/>
  <c r="BF15" i="47" s="1"/>
  <c r="AW15" i="47"/>
  <c r="AV15" i="47"/>
  <c r="AU15" i="47"/>
  <c r="AT15" i="47"/>
  <c r="AO15" i="47"/>
  <c r="AN15" i="47"/>
  <c r="AM15" i="47"/>
  <c r="AL15" i="47"/>
  <c r="W15" i="47"/>
  <c r="X15" i="47" s="1"/>
  <c r="V15" i="47"/>
  <c r="S15" i="47"/>
  <c r="R15" i="47"/>
  <c r="Q15" i="47"/>
  <c r="P15" i="47"/>
  <c r="BM14" i="47"/>
  <c r="BN14" i="47" s="1"/>
  <c r="BL14" i="47"/>
  <c r="BK14" i="47"/>
  <c r="BJ14" i="47"/>
  <c r="BI14" i="47"/>
  <c r="BH14" i="47"/>
  <c r="BA14" i="47"/>
  <c r="AZ14" i="47"/>
  <c r="AY14" i="47"/>
  <c r="BG14" i="47" s="1"/>
  <c r="AX14" i="47"/>
  <c r="BF14" i="47" s="1"/>
  <c r="AW14" i="47"/>
  <c r="AV14" i="47"/>
  <c r="AU14" i="47"/>
  <c r="AT14" i="47"/>
  <c r="AO14" i="47"/>
  <c r="AN14" i="47"/>
  <c r="AM14" i="47"/>
  <c r="AL14" i="47"/>
  <c r="W14" i="47"/>
  <c r="V14" i="47"/>
  <c r="S14" i="47"/>
  <c r="R14" i="47"/>
  <c r="Q14" i="47"/>
  <c r="BM13" i="47"/>
  <c r="BK13" i="47"/>
  <c r="BJ13" i="47"/>
  <c r="BN13" i="47" s="1"/>
  <c r="BI13" i="47"/>
  <c r="BA13" i="47"/>
  <c r="AZ13" i="47"/>
  <c r="BH13" i="47" s="1"/>
  <c r="AY13" i="47"/>
  <c r="BG13" i="47" s="1"/>
  <c r="AX13" i="47"/>
  <c r="BF13" i="47" s="1"/>
  <c r="AW13" i="47"/>
  <c r="AV13" i="47"/>
  <c r="AU13" i="47"/>
  <c r="AT13" i="47"/>
  <c r="AO13" i="47"/>
  <c r="AN13" i="47"/>
  <c r="AM13" i="47"/>
  <c r="AL13" i="47"/>
  <c r="W13" i="47"/>
  <c r="X13" i="47" s="1"/>
  <c r="V13" i="47"/>
  <c r="S13" i="47"/>
  <c r="R13" i="47"/>
  <c r="P13" i="47"/>
  <c r="BN12" i="47"/>
  <c r="BM12" i="47"/>
  <c r="BL12" i="47"/>
  <c r="BK12" i="47"/>
  <c r="BJ12" i="47"/>
  <c r="BF12" i="47"/>
  <c r="BA12" i="47"/>
  <c r="BI12" i="47" s="1"/>
  <c r="AZ12" i="47"/>
  <c r="BH12" i="47" s="1"/>
  <c r="AY12" i="47"/>
  <c r="BG12" i="47" s="1"/>
  <c r="AX12" i="47"/>
  <c r="AW12" i="47"/>
  <c r="AV12" i="47"/>
  <c r="AU12" i="47"/>
  <c r="AT12" i="47"/>
  <c r="AO12" i="47"/>
  <c r="AN12" i="47"/>
  <c r="AM12" i="47"/>
  <c r="AL12" i="47"/>
  <c r="W12" i="47"/>
  <c r="X12" i="47" s="1"/>
  <c r="V12" i="47"/>
  <c r="S12" i="47"/>
  <c r="R12" i="47"/>
  <c r="BM11" i="47"/>
  <c r="BK11" i="47"/>
  <c r="BL11" i="47" s="1"/>
  <c r="BJ11" i="47"/>
  <c r="BN11" i="47" s="1"/>
  <c r="BG11" i="47"/>
  <c r="BF11" i="47"/>
  <c r="BA11" i="47"/>
  <c r="BI11" i="47" s="1"/>
  <c r="AZ11" i="47"/>
  <c r="BH11" i="47" s="1"/>
  <c r="AY11" i="47"/>
  <c r="AX11" i="47"/>
  <c r="AW11" i="47"/>
  <c r="AV11" i="47"/>
  <c r="AU11" i="47"/>
  <c r="AT11" i="47"/>
  <c r="AO11" i="47"/>
  <c r="AN11" i="47"/>
  <c r="AM11" i="47"/>
  <c r="AL11" i="47"/>
  <c r="W11" i="47"/>
  <c r="X11" i="47" s="1"/>
  <c r="V11" i="47"/>
  <c r="S11" i="47"/>
  <c r="R11" i="47"/>
  <c r="Q11" i="47"/>
  <c r="P11" i="47"/>
  <c r="BN10" i="47"/>
  <c r="BM10" i="47"/>
  <c r="BK10" i="47"/>
  <c r="BL10" i="47" s="1"/>
  <c r="BJ10" i="47"/>
  <c r="BI10" i="47"/>
  <c r="BH10" i="47"/>
  <c r="BA10" i="47"/>
  <c r="AZ10" i="47"/>
  <c r="AY10" i="47"/>
  <c r="BG10" i="47" s="1"/>
  <c r="AX10" i="47"/>
  <c r="BF10" i="47" s="1"/>
  <c r="AW10" i="47"/>
  <c r="AV10" i="47"/>
  <c r="AU10" i="47"/>
  <c r="AT10" i="47"/>
  <c r="AO10" i="47"/>
  <c r="AN10" i="47"/>
  <c r="AM10" i="47"/>
  <c r="AL10" i="47"/>
  <c r="W10" i="47"/>
  <c r="V10" i="47"/>
  <c r="S10" i="47"/>
  <c r="S9" i="47" s="1"/>
  <c r="R10" i="47"/>
  <c r="R9" i="47" s="1"/>
  <c r="R8" i="47" s="1"/>
  <c r="R7" i="47" s="1"/>
  <c r="Q10" i="47"/>
  <c r="P10" i="47"/>
  <c r="P9" i="47" s="1"/>
  <c r="BE9" i="47"/>
  <c r="BD9" i="47"/>
  <c r="BC9" i="47"/>
  <c r="BB9" i="47"/>
  <c r="BA9" i="47"/>
  <c r="AS9" i="47"/>
  <c r="AR9" i="47"/>
  <c r="AQ9" i="47"/>
  <c r="AQ8" i="47" s="1"/>
  <c r="AP9" i="47"/>
  <c r="AO9" i="47"/>
  <c r="AN9" i="47"/>
  <c r="AL9" i="47"/>
  <c r="AK9" i="47"/>
  <c r="AJ9" i="47"/>
  <c r="AI9" i="47"/>
  <c r="AH9" i="47"/>
  <c r="AG9" i="47"/>
  <c r="AF9" i="47"/>
  <c r="AE9" i="47"/>
  <c r="AD9" i="47"/>
  <c r="Q9" i="47"/>
  <c r="AS8" i="47"/>
  <c r="AR8" i="47"/>
  <c r="AA7" i="47"/>
  <c r="AB7" i="47" s="1"/>
  <c r="AC7" i="47" s="1"/>
  <c r="Z7" i="47"/>
  <c r="A3" i="47"/>
  <c r="A2" i="47"/>
  <c r="P8" i="47" l="1"/>
  <c r="AG29" i="47"/>
  <c r="AO38" i="47"/>
  <c r="Q77" i="47"/>
  <c r="Q76" i="47" s="1"/>
  <c r="AN189" i="47"/>
  <c r="AJ183" i="47"/>
  <c r="AN183" i="47" s="1"/>
  <c r="BC248" i="47"/>
  <c r="BM251" i="47"/>
  <c r="BN251" i="47" s="1"/>
  <c r="AP249" i="47"/>
  <c r="AT251" i="47"/>
  <c r="AJ42" i="47"/>
  <c r="AN51" i="47"/>
  <c r="BL68" i="47"/>
  <c r="BA77" i="47"/>
  <c r="BA76" i="47" s="1"/>
  <c r="BM106" i="47"/>
  <c r="BN106" i="47" s="1"/>
  <c r="AT106" i="47"/>
  <c r="AP104" i="47"/>
  <c r="AX106" i="47"/>
  <c r="BF106" i="47" s="1"/>
  <c r="BF114" i="47"/>
  <c r="AX113" i="47"/>
  <c r="AX112" i="47" s="1"/>
  <c r="BG127" i="47"/>
  <c r="AY126" i="47"/>
  <c r="BG126" i="47" s="1"/>
  <c r="BG186" i="47"/>
  <c r="AY184" i="47"/>
  <c r="X18" i="47"/>
  <c r="AD38" i="47"/>
  <c r="BJ40" i="47"/>
  <c r="AT40" i="47"/>
  <c r="AE77" i="47"/>
  <c r="AE76" i="47" s="1"/>
  <c r="BJ79" i="47"/>
  <c r="AT79" i="47"/>
  <c r="AD78" i="47"/>
  <c r="BG99" i="47"/>
  <c r="AY98" i="47"/>
  <c r="S111" i="47"/>
  <c r="S85" i="47" s="1"/>
  <c r="S77" i="47" s="1"/>
  <c r="S76" i="47" s="1"/>
  <c r="AZ126" i="47"/>
  <c r="BH126" i="47" s="1"/>
  <c r="BH127" i="47"/>
  <c r="AZ184" i="47"/>
  <c r="BH186" i="47"/>
  <c r="AZ209" i="47"/>
  <c r="BH209" i="47" s="1"/>
  <c r="BH210" i="47"/>
  <c r="BE248" i="47"/>
  <c r="BI249" i="47"/>
  <c r="BN28" i="47"/>
  <c r="BI38" i="47"/>
  <c r="AG42" i="47"/>
  <c r="AG41" i="47" s="1"/>
  <c r="AO43" i="47"/>
  <c r="BH65" i="47"/>
  <c r="AZ64" i="47"/>
  <c r="BH64" i="47" s="1"/>
  <c r="BI52" i="47"/>
  <c r="BA51" i="47"/>
  <c r="BI51" i="47" s="1"/>
  <c r="BF54" i="47"/>
  <c r="AT68" i="47"/>
  <c r="BM68" i="47"/>
  <c r="BN68" i="47" s="1"/>
  <c r="BD77" i="47"/>
  <c r="BN20" i="47"/>
  <c r="BL26" i="47"/>
  <c r="AX43" i="47"/>
  <c r="BF43" i="47" s="1"/>
  <c r="BF44" i="47"/>
  <c r="BI78" i="47"/>
  <c r="BM97" i="47"/>
  <c r="AP96" i="47"/>
  <c r="BK210" i="47"/>
  <c r="AI209" i="47"/>
  <c r="AM210" i="47"/>
  <c r="S8" i="47"/>
  <c r="S7" i="47" s="1"/>
  <c r="BJ25" i="47"/>
  <c r="BN25" i="47" s="1"/>
  <c r="AD22" i="47"/>
  <c r="X28" i="47"/>
  <c r="AY32" i="47"/>
  <c r="BG32" i="47" s="1"/>
  <c r="BN39" i="47"/>
  <c r="AY43" i="47"/>
  <c r="AY42" i="47" s="1"/>
  <c r="BG44" i="47"/>
  <c r="BG59" i="47"/>
  <c r="BC58" i="47"/>
  <c r="BN66" i="47"/>
  <c r="BI70" i="47"/>
  <c r="AT97" i="47"/>
  <c r="BJ135" i="47"/>
  <c r="AD134" i="47"/>
  <c r="BM139" i="47"/>
  <c r="BN139" i="47" s="1"/>
  <c r="AU139" i="47"/>
  <c r="AY139" i="47"/>
  <c r="BG139" i="47" s="1"/>
  <c r="BK177" i="47"/>
  <c r="BL177" i="47" s="1"/>
  <c r="BI191" i="47"/>
  <c r="BA189" i="47"/>
  <c r="BI189" i="47" s="1"/>
  <c r="AM203" i="47"/>
  <c r="AY203" i="47"/>
  <c r="BG203" i="47" s="1"/>
  <c r="AF222" i="47"/>
  <c r="AV222" i="47" s="1"/>
  <c r="AV223" i="47"/>
  <c r="AT270" i="47"/>
  <c r="BM270" i="47"/>
  <c r="BN270" i="47" s="1"/>
  <c r="AX9" i="47"/>
  <c r="BF9" i="47" s="1"/>
  <c r="BK25" i="47"/>
  <c r="AX25" i="47"/>
  <c r="BF25" i="47" s="1"/>
  <c r="AU42" i="47"/>
  <c r="AK58" i="47"/>
  <c r="AO58" i="47" s="1"/>
  <c r="AO59" i="47"/>
  <c r="AS58" i="47"/>
  <c r="AW58" i="47" s="1"/>
  <c r="AW68" i="47"/>
  <c r="BM73" i="47"/>
  <c r="BN73" i="47" s="1"/>
  <c r="AQ269" i="47"/>
  <c r="AU270" i="47"/>
  <c r="Q269" i="47"/>
  <c r="AM274" i="47"/>
  <c r="BK274" i="47"/>
  <c r="BL274" i="47" s="1"/>
  <c r="AY274" i="47"/>
  <c r="AI273" i="47"/>
  <c r="AY9" i="47"/>
  <c r="BJ18" i="47"/>
  <c r="BN19" i="47"/>
  <c r="AL25" i="47"/>
  <c r="BK30" i="47"/>
  <c r="AH29" i="47"/>
  <c r="AT43" i="47"/>
  <c r="AV53" i="47"/>
  <c r="BM64" i="47"/>
  <c r="AT73" i="47"/>
  <c r="BE77" i="47"/>
  <c r="BJ102" i="47"/>
  <c r="BL102" i="47" s="1"/>
  <c r="AT102" i="47"/>
  <c r="AD100" i="47"/>
  <c r="BJ100" i="47" s="1"/>
  <c r="AE135" i="47"/>
  <c r="AE134" i="47" s="1"/>
  <c r="AU145" i="47"/>
  <c r="BM154" i="47"/>
  <c r="BN154" i="47" s="1"/>
  <c r="AU154" i="47"/>
  <c r="AY154" i="47"/>
  <c r="BG154" i="47" s="1"/>
  <c r="BI163" i="47"/>
  <c r="AH222" i="47"/>
  <c r="BK223" i="47"/>
  <c r="BJ53" i="47"/>
  <c r="R58" i="47"/>
  <c r="AZ78" i="47"/>
  <c r="BH78" i="47" s="1"/>
  <c r="BH79" i="47"/>
  <c r="BN102" i="47"/>
  <c r="BH40" i="47"/>
  <c r="AZ38" i="47"/>
  <c r="BH38" i="47" s="1"/>
  <c r="BJ152" i="47"/>
  <c r="AL152" i="47"/>
  <c r="AD151" i="47"/>
  <c r="AT178" i="47"/>
  <c r="AP177" i="47"/>
  <c r="BM178" i="47"/>
  <c r="BN178" i="47" s="1"/>
  <c r="X184" i="47"/>
  <c r="X183" i="47" s="1"/>
  <c r="BA184" i="47"/>
  <c r="BA183" i="47" s="1"/>
  <c r="BI183" i="47" s="1"/>
  <c r="BI185" i="47"/>
  <c r="BG210" i="47"/>
  <c r="BD248" i="47"/>
  <c r="BJ268" i="47"/>
  <c r="BN268" i="47" s="1"/>
  <c r="AD266" i="47"/>
  <c r="BJ266" i="47" s="1"/>
  <c r="P41" i="47"/>
  <c r="AV48" i="47"/>
  <c r="AR43" i="47"/>
  <c r="AZ48" i="47"/>
  <c r="BH48" i="47" s="1"/>
  <c r="AK42" i="47"/>
  <c r="AO51" i="47"/>
  <c r="X66" i="47"/>
  <c r="X64" i="47" s="1"/>
  <c r="AL79" i="47"/>
  <c r="AH78" i="47"/>
  <c r="AX79" i="47"/>
  <c r="BK79" i="47"/>
  <c r="BL79" i="47" s="1"/>
  <c r="BN79" i="47"/>
  <c r="BH99" i="47"/>
  <c r="AZ98" i="47"/>
  <c r="BH98" i="47" s="1"/>
  <c r="BM122" i="47"/>
  <c r="BN122" i="47" s="1"/>
  <c r="AQ121" i="47"/>
  <c r="AU122" i="47"/>
  <c r="BN125" i="47"/>
  <c r="AU183" i="47"/>
  <c r="AD209" i="47"/>
  <c r="BJ209" i="47" s="1"/>
  <c r="BJ210" i="47"/>
  <c r="AL210" i="47"/>
  <c r="BI210" i="47"/>
  <c r="BA209" i="47"/>
  <c r="BF37" i="47"/>
  <c r="BL137" i="47"/>
  <c r="AE42" i="47"/>
  <c r="AE41" i="47" s="1"/>
  <c r="AV68" i="47"/>
  <c r="AR58" i="47"/>
  <c r="AV58" i="47" s="1"/>
  <c r="BF81" i="47"/>
  <c r="BK99" i="47"/>
  <c r="BL99" i="47" s="1"/>
  <c r="AX99" i="47"/>
  <c r="AH98" i="47"/>
  <c r="AL99" i="47"/>
  <c r="BL13" i="47"/>
  <c r="BH59" i="47"/>
  <c r="BK9" i="47"/>
  <c r="BL9" i="47" s="1"/>
  <c r="AI8" i="47"/>
  <c r="AM9" i="47"/>
  <c r="AZ9" i="47"/>
  <c r="AF8" i="47"/>
  <c r="AV8" i="47" s="1"/>
  <c r="AV18" i="47"/>
  <c r="BN18" i="47"/>
  <c r="BG22" i="47"/>
  <c r="BK51" i="47"/>
  <c r="BL51" i="47" s="1"/>
  <c r="AW53" i="47"/>
  <c r="AU64" i="47"/>
  <c r="AX100" i="47"/>
  <c r="BF101" i="47"/>
  <c r="AL102" i="47"/>
  <c r="AD108" i="47"/>
  <c r="BJ108" i="47" s="1"/>
  <c r="BL120" i="47"/>
  <c r="AP135" i="47"/>
  <c r="BM137" i="47"/>
  <c r="BN137" i="47" s="1"/>
  <c r="AT137" i="47"/>
  <c r="AX137" i="47"/>
  <c r="BF137" i="47" s="1"/>
  <c r="AL144" i="47"/>
  <c r="AX144" i="47"/>
  <c r="BF144" i="47" s="1"/>
  <c r="BK144" i="47"/>
  <c r="BL144" i="47" s="1"/>
  <c r="BK145" i="47"/>
  <c r="AL145" i="47"/>
  <c r="R152" i="47"/>
  <c r="R151" i="47" s="1"/>
  <c r="AU204" i="47"/>
  <c r="BH53" i="47"/>
  <c r="BK57" i="47"/>
  <c r="BL57" i="47" s="1"/>
  <c r="AX57" i="47"/>
  <c r="BF57" i="47" s="1"/>
  <c r="AU98" i="47"/>
  <c r="BM98" i="47"/>
  <c r="BF186" i="47"/>
  <c r="AX184" i="47"/>
  <c r="AM250" i="47"/>
  <c r="AI249" i="47"/>
  <c r="AY250" i="47"/>
  <c r="BI268" i="47"/>
  <c r="BA266" i="47"/>
  <c r="BI266" i="47" s="1"/>
  <c r="Q22" i="47"/>
  <c r="Q8" i="47" s="1"/>
  <c r="Q7" i="47" s="1"/>
  <c r="BK38" i="47"/>
  <c r="AL38" i="47"/>
  <c r="R112" i="47"/>
  <c r="X128" i="47"/>
  <c r="AF42" i="47"/>
  <c r="AF41" i="47" s="1"/>
  <c r="AN43" i="47"/>
  <c r="X59" i="47"/>
  <c r="BB76" i="47"/>
  <c r="AL141" i="47"/>
  <c r="AH135" i="47"/>
  <c r="AX141" i="47"/>
  <c r="BF141" i="47" s="1"/>
  <c r="BJ249" i="47"/>
  <c r="BK268" i="47"/>
  <c r="BL268" i="47" s="1"/>
  <c r="AX268" i="47"/>
  <c r="BF268" i="47" s="1"/>
  <c r="AH266" i="47"/>
  <c r="AL268" i="47"/>
  <c r="BH279" i="47"/>
  <c r="AX40" i="47"/>
  <c r="BF40" i="47" s="1"/>
  <c r="BK40" i="47"/>
  <c r="BL40" i="47" s="1"/>
  <c r="AL40" i="47"/>
  <c r="BA59" i="47"/>
  <c r="BI65" i="47"/>
  <c r="BA64" i="47"/>
  <c r="BI64" i="47" s="1"/>
  <c r="BJ66" i="47"/>
  <c r="AD64" i="47"/>
  <c r="BJ64" i="47" s="1"/>
  <c r="BL96" i="47"/>
  <c r="BI99" i="47"/>
  <c r="BA98" i="47"/>
  <c r="BI98" i="47" s="1"/>
  <c r="AX209" i="47"/>
  <c r="BF209" i="47" s="1"/>
  <c r="BF210" i="47"/>
  <c r="AD42" i="47"/>
  <c r="BB58" i="47"/>
  <c r="BJ99" i="47"/>
  <c r="AD98" i="47"/>
  <c r="AL203" i="47"/>
  <c r="AX203" i="47"/>
  <c r="BF203" i="47" s="1"/>
  <c r="AH196" i="47"/>
  <c r="AY29" i="47"/>
  <c r="BG29" i="47" s="1"/>
  <c r="BG30" i="47"/>
  <c r="AT53" i="47"/>
  <c r="BM53" i="47"/>
  <c r="AP42" i="47"/>
  <c r="AQ58" i="47"/>
  <c r="AX149" i="47"/>
  <c r="BF149" i="47" s="1"/>
  <c r="BM149" i="47"/>
  <c r="BN149" i="47" s="1"/>
  <c r="AT149" i="47"/>
  <c r="AT191" i="47"/>
  <c r="BJ191" i="47"/>
  <c r="BN191" i="47" s="1"/>
  <c r="AD189" i="47"/>
  <c r="BJ189" i="47" s="1"/>
  <c r="X273" i="47"/>
  <c r="X269" i="47" s="1"/>
  <c r="BA53" i="47"/>
  <c r="BI53" i="47" s="1"/>
  <c r="BI54" i="47"/>
  <c r="AN74" i="47"/>
  <c r="AJ58" i="47"/>
  <c r="AN58" i="47" s="1"/>
  <c r="AW103" i="47"/>
  <c r="BL123" i="47"/>
  <c r="AT145" i="47"/>
  <c r="BJ145" i="47"/>
  <c r="BH184" i="47"/>
  <c r="BD183" i="47"/>
  <c r="AG222" i="47"/>
  <c r="AG194" i="47" s="1"/>
  <c r="AW223" i="47"/>
  <c r="P270" i="47"/>
  <c r="P269" i="47" s="1"/>
  <c r="AG8" i="47"/>
  <c r="AW18" i="47"/>
  <c r="AH22" i="47"/>
  <c r="BM24" i="47"/>
  <c r="BN24" i="47" s="1"/>
  <c r="AJ29" i="47"/>
  <c r="X32" i="47"/>
  <c r="X29" i="47" s="1"/>
  <c r="AU38" i="47"/>
  <c r="BN51" i="47"/>
  <c r="P58" i="47"/>
  <c r="BL69" i="47"/>
  <c r="AQ77" i="47"/>
  <c r="AJ103" i="47"/>
  <c r="AN103" i="47" s="1"/>
  <c r="AN104" i="47"/>
  <c r="AZ103" i="47"/>
  <c r="BH103" i="47" s="1"/>
  <c r="BH104" i="47"/>
  <c r="BN120" i="47"/>
  <c r="AY137" i="47"/>
  <c r="BG137" i="47" s="1"/>
  <c r="AQ135" i="47"/>
  <c r="AU137" i="47"/>
  <c r="AM144" i="47"/>
  <c r="AY144" i="47"/>
  <c r="BG144" i="47" s="1"/>
  <c r="P152" i="47"/>
  <c r="P151" i="47" s="1"/>
  <c r="AU153" i="47"/>
  <c r="AY153" i="47"/>
  <c r="AQ152" i="47"/>
  <c r="BM153" i="47"/>
  <c r="BN153" i="47" s="1"/>
  <c r="BD195" i="47"/>
  <c r="BN250" i="47"/>
  <c r="AV38" i="47"/>
  <c r="BG42" i="47"/>
  <c r="BG43" i="47"/>
  <c r="Q58" i="47"/>
  <c r="AP70" i="47"/>
  <c r="P77" i="47"/>
  <c r="P76" i="47" s="1"/>
  <c r="AY78" i="47"/>
  <c r="BG79" i="47"/>
  <c r="X85" i="47"/>
  <c r="BM93" i="47"/>
  <c r="BN93" i="47" s="1"/>
  <c r="AX93" i="47"/>
  <c r="AP92" i="47"/>
  <c r="AK103" i="47"/>
  <c r="AO103" i="47" s="1"/>
  <c r="AO104" i="47"/>
  <c r="AW112" i="47"/>
  <c r="AT123" i="47"/>
  <c r="AP121" i="47"/>
  <c r="BM123" i="47"/>
  <c r="R135" i="47"/>
  <c r="R134" i="47" s="1"/>
  <c r="BN144" i="47"/>
  <c r="Q152" i="47"/>
  <c r="Q151" i="47" s="1"/>
  <c r="Q150" i="47" s="1"/>
  <c r="AV209" i="47"/>
  <c r="AR204" i="47"/>
  <c r="AV204" i="47" s="1"/>
  <c r="AL211" i="47"/>
  <c r="BJ211" i="47"/>
  <c r="BL211" i="47" s="1"/>
  <c r="AT211" i="47"/>
  <c r="BK250" i="47"/>
  <c r="AL250" i="47"/>
  <c r="AH249" i="47"/>
  <c r="AX250" i="47"/>
  <c r="AU252" i="47"/>
  <c r="BM252" i="47"/>
  <c r="BN252" i="47" s="1"/>
  <c r="AZ266" i="47"/>
  <c r="BH266" i="47" s="1"/>
  <c r="BH268" i="47"/>
  <c r="BK80" i="47"/>
  <c r="BL80" i="47" s="1"/>
  <c r="AX80" i="47"/>
  <c r="BF80" i="47" s="1"/>
  <c r="X101" i="47"/>
  <c r="X100" i="47" s="1"/>
  <c r="X127" i="47"/>
  <c r="AO189" i="47"/>
  <c r="AK183" i="47"/>
  <c r="AO183" i="47" s="1"/>
  <c r="BB8" i="47"/>
  <c r="BL15" i="47"/>
  <c r="BK18" i="47"/>
  <c r="BL18" i="47" s="1"/>
  <c r="AH8" i="47"/>
  <c r="AL18" i="47"/>
  <c r="AU29" i="47"/>
  <c r="BL34" i="47"/>
  <c r="AM81" i="47"/>
  <c r="BL89" i="47"/>
  <c r="BB103" i="47"/>
  <c r="BA130" i="47"/>
  <c r="BI130" i="47" s="1"/>
  <c r="AM165" i="47"/>
  <c r="BK165" i="47"/>
  <c r="BL165" i="47" s="1"/>
  <c r="AY165" i="47"/>
  <c r="BG165" i="47" s="1"/>
  <c r="AU167" i="47"/>
  <c r="AY167" i="47"/>
  <c r="BG167" i="47" s="1"/>
  <c r="AY168" i="47"/>
  <c r="BG168" i="47" s="1"/>
  <c r="BM168" i="47"/>
  <c r="BN168" i="47" s="1"/>
  <c r="AU168" i="47"/>
  <c r="BH234" i="47"/>
  <c r="AZ233" i="47"/>
  <c r="AZ232" i="47" s="1"/>
  <c r="AX267" i="47"/>
  <c r="AP266" i="47"/>
  <c r="BM267" i="47"/>
  <c r="BN267" i="47" s="1"/>
  <c r="BA279" i="47"/>
  <c r="BI279" i="47" s="1"/>
  <c r="BI280" i="47"/>
  <c r="BC8" i="47"/>
  <c r="BG9" i="47"/>
  <c r="AM18" i="47"/>
  <c r="X23" i="47"/>
  <c r="AR77" i="47"/>
  <c r="AN81" i="47"/>
  <c r="AJ77" i="47"/>
  <c r="BF82" i="47"/>
  <c r="AX81" i="47"/>
  <c r="AL89" i="47"/>
  <c r="BG112" i="47"/>
  <c r="AO134" i="47"/>
  <c r="BL152" i="47"/>
  <c r="BM183" i="47"/>
  <c r="Q196" i="47"/>
  <c r="Q195" i="47" s="1"/>
  <c r="BK220" i="47"/>
  <c r="BL220" i="47" s="1"/>
  <c r="AH217" i="47"/>
  <c r="AX220" i="47"/>
  <c r="BF220" i="47" s="1"/>
  <c r="BJ234" i="47"/>
  <c r="AD233" i="47"/>
  <c r="AT233" i="47" s="1"/>
  <c r="AT234" i="47"/>
  <c r="AT267" i="47"/>
  <c r="AE279" i="47"/>
  <c r="AM279" i="47" s="1"/>
  <c r="AM280" i="47"/>
  <c r="BH9" i="47"/>
  <c r="BI22" i="47"/>
  <c r="AK29" i="47"/>
  <c r="BL52" i="47"/>
  <c r="BM71" i="47"/>
  <c r="BN71" i="47" s="1"/>
  <c r="AY71" i="47"/>
  <c r="AS77" i="47"/>
  <c r="AK77" i="47"/>
  <c r="AO96" i="47"/>
  <c r="BG110" i="47"/>
  <c r="AV118" i="47"/>
  <c r="BK129" i="47"/>
  <c r="BL129" i="47" s="1"/>
  <c r="AX129" i="47"/>
  <c r="BF129" i="47" s="1"/>
  <c r="AD276" i="47"/>
  <c r="BJ276" i="47" s="1"/>
  <c r="BJ277" i="47"/>
  <c r="AO18" i="47"/>
  <c r="BA22" i="47"/>
  <c r="BA8" i="47" s="1"/>
  <c r="BI23" i="47"/>
  <c r="AT26" i="47"/>
  <c r="AX30" i="47"/>
  <c r="AT31" i="47"/>
  <c r="BJ31" i="47"/>
  <c r="BN31" i="47" s="1"/>
  <c r="BN35" i="47"/>
  <c r="BL63" i="47"/>
  <c r="AM67" i="47"/>
  <c r="BL71" i="47"/>
  <c r="AU85" i="47"/>
  <c r="AL129" i="47"/>
  <c r="AT148" i="47"/>
  <c r="BM148" i="47"/>
  <c r="BN148" i="47" s="1"/>
  <c r="BI155" i="47"/>
  <c r="BA152" i="47"/>
  <c r="AM164" i="47"/>
  <c r="BK164" i="47"/>
  <c r="BL164" i="47" s="1"/>
  <c r="AY164" i="47"/>
  <c r="AI163" i="47"/>
  <c r="BL199" i="47"/>
  <c r="BE204" i="47"/>
  <c r="AI213" i="47"/>
  <c r="AM213" i="47" s="1"/>
  <c r="AY214" i="47"/>
  <c r="BI220" i="47"/>
  <c r="BD232" i="47"/>
  <c r="BH232" i="47" s="1"/>
  <c r="BH233" i="47"/>
  <c r="BH278" i="47"/>
  <c r="AZ276" i="47"/>
  <c r="BH276" i="47" s="1"/>
  <c r="AE8" i="47"/>
  <c r="AE7" i="47" s="1"/>
  <c r="BG38" i="47"/>
  <c r="AD59" i="47"/>
  <c r="AU71" i="47"/>
  <c r="BF72" i="47"/>
  <c r="BM80" i="47"/>
  <c r="BN80" i="47" s="1"/>
  <c r="AP94" i="47"/>
  <c r="BM95" i="47"/>
  <c r="BN95" i="47" s="1"/>
  <c r="X104" i="47"/>
  <c r="X103" i="47" s="1"/>
  <c r="X76" i="47" s="1"/>
  <c r="BH152" i="47"/>
  <c r="BD151" i="47"/>
  <c r="BL161" i="47"/>
  <c r="BI164" i="47"/>
  <c r="AP172" i="47"/>
  <c r="AT173" i="47"/>
  <c r="AS204" i="47"/>
  <c r="AW204" i="47" s="1"/>
  <c r="AZ18" i="47"/>
  <c r="BH18" i="47" s="1"/>
  <c r="BH19" i="47"/>
  <c r="AX24" i="47"/>
  <c r="BF24" i="47" s="1"/>
  <c r="AN30" i="47"/>
  <c r="AZ30" i="47"/>
  <c r="AL31" i="47"/>
  <c r="BI39" i="47"/>
  <c r="BA38" i="47"/>
  <c r="X47" i="47"/>
  <c r="X43" i="47" s="1"/>
  <c r="X42" i="47" s="1"/>
  <c r="AU53" i="47"/>
  <c r="AZ53" i="47"/>
  <c r="BG63" i="47"/>
  <c r="AL68" i="47"/>
  <c r="BH69" i="47"/>
  <c r="AZ68" i="47"/>
  <c r="BH68" i="47" s="1"/>
  <c r="BK70" i="47"/>
  <c r="AZ70" i="47"/>
  <c r="BH70" i="47" s="1"/>
  <c r="AM72" i="47"/>
  <c r="AU74" i="47"/>
  <c r="BH75" i="47"/>
  <c r="AF77" i="47"/>
  <c r="AF76" i="47" s="1"/>
  <c r="P85" i="47"/>
  <c r="BL88" i="47"/>
  <c r="AT95" i="47"/>
  <c r="BI97" i="47"/>
  <c r="AN98" i="47"/>
  <c r="BA103" i="47"/>
  <c r="BI103" i="47" s="1"/>
  <c r="BJ105" i="47"/>
  <c r="BN105" i="47" s="1"/>
  <c r="AD104" i="47"/>
  <c r="AL106" i="47"/>
  <c r="AL107" i="47"/>
  <c r="BJ110" i="47"/>
  <c r="AM112" i="47"/>
  <c r="AO113" i="47"/>
  <c r="AI118" i="47"/>
  <c r="BG119" i="47"/>
  <c r="S118" i="47"/>
  <c r="AE121" i="47"/>
  <c r="AE118" i="47" s="1"/>
  <c r="AE111" i="47" s="1"/>
  <c r="AM123" i="47"/>
  <c r="AY123" i="47"/>
  <c r="BG123" i="47" s="1"/>
  <c r="AD124" i="47"/>
  <c r="BJ125" i="47"/>
  <c r="BM128" i="47"/>
  <c r="BN128" i="47" s="1"/>
  <c r="Q135" i="47"/>
  <c r="Q134" i="47" s="1"/>
  <c r="BK138" i="47"/>
  <c r="BL138" i="47" s="1"/>
  <c r="AL138" i="47"/>
  <c r="AX140" i="47"/>
  <c r="BF140" i="47" s="1"/>
  <c r="AG150" i="47"/>
  <c r="BJ159" i="47"/>
  <c r="BN159" i="47" s="1"/>
  <c r="AW159" i="47"/>
  <c r="AN163" i="47"/>
  <c r="AJ162" i="47"/>
  <c r="AU173" i="47"/>
  <c r="AQ172" i="47"/>
  <c r="BM173" i="47"/>
  <c r="BN173" i="47" s="1"/>
  <c r="BM184" i="47"/>
  <c r="AU184" i="47"/>
  <c r="X189" i="47"/>
  <c r="BF191" i="47"/>
  <c r="AX189" i="47"/>
  <c r="AD217" i="47"/>
  <c r="BJ217" i="47" s="1"/>
  <c r="Q217" i="47"/>
  <c r="BI224" i="47"/>
  <c r="BA223" i="47"/>
  <c r="BK231" i="47"/>
  <c r="BL231" i="47" s="1"/>
  <c r="AL231" i="47"/>
  <c r="AX231" i="47"/>
  <c r="BF231" i="47" s="1"/>
  <c r="BH244" i="47"/>
  <c r="BD240" i="47"/>
  <c r="X259" i="47"/>
  <c r="AN280" i="47"/>
  <c r="BK280" i="47"/>
  <c r="AP196" i="47"/>
  <c r="AT202" i="47"/>
  <c r="BN208" i="47"/>
  <c r="BF100" i="47"/>
  <c r="AY113" i="47"/>
  <c r="AY112" i="47" s="1"/>
  <c r="BF131" i="47"/>
  <c r="AX130" i="47"/>
  <c r="AN134" i="47"/>
  <c r="BM141" i="47"/>
  <c r="BN141" i="47" s="1"/>
  <c r="AT141" i="47"/>
  <c r="BM143" i="47"/>
  <c r="BN143" i="47" s="1"/>
  <c r="AH184" i="47"/>
  <c r="AL186" i="47"/>
  <c r="BK186" i="47"/>
  <c r="X213" i="47"/>
  <c r="AQ259" i="47"/>
  <c r="AU259" i="47" s="1"/>
  <c r="AU260" i="47"/>
  <c r="AY260" i="47"/>
  <c r="BL21" i="47"/>
  <c r="X55" i="47"/>
  <c r="X53" i="47" s="1"/>
  <c r="BI59" i="47"/>
  <c r="AL61" i="47"/>
  <c r="BK101" i="47"/>
  <c r="BL101" i="47" s="1"/>
  <c r="AH100" i="47"/>
  <c r="AL101" i="47"/>
  <c r="BG109" i="47"/>
  <c r="BM119" i="47"/>
  <c r="BN119" i="47" s="1"/>
  <c r="AT119" i="47"/>
  <c r="AP118" i="47"/>
  <c r="BF130" i="47"/>
  <c r="P189" i="47"/>
  <c r="AX205" i="47"/>
  <c r="BF206" i="47"/>
  <c r="BB232" i="47"/>
  <c r="BB279" i="47"/>
  <c r="AN18" i="47"/>
  <c r="P29" i="47"/>
  <c r="AL66" i="47"/>
  <c r="X73" i="47"/>
  <c r="X70" i="47" s="1"/>
  <c r="AT100" i="47"/>
  <c r="BM100" i="47"/>
  <c r="BH131" i="47"/>
  <c r="AZ130" i="47"/>
  <c r="BH130" i="47" s="1"/>
  <c r="AE163" i="47"/>
  <c r="BJ164" i="47"/>
  <c r="BN164" i="47" s="1"/>
  <c r="AL220" i="47"/>
  <c r="BM232" i="47"/>
  <c r="BG280" i="47"/>
  <c r="AJ8" i="47"/>
  <c r="AP8" i="47"/>
  <c r="AT9" i="47"/>
  <c r="Q29" i="47"/>
  <c r="BL37" i="47"/>
  <c r="BF51" i="47"/>
  <c r="AT59" i="47"/>
  <c r="BG68" i="47"/>
  <c r="AT107" i="47"/>
  <c r="BJ107" i="47"/>
  <c r="BN107" i="47" s="1"/>
  <c r="Q118" i="47"/>
  <c r="AF194" i="47"/>
  <c r="AZ205" i="47"/>
  <c r="BI214" i="47"/>
  <c r="BA213" i="47"/>
  <c r="BI213" i="47" s="1"/>
  <c r="AN279" i="47"/>
  <c r="BK279" i="47"/>
  <c r="AK8" i="47"/>
  <c r="BD8" i="47"/>
  <c r="AL23" i="47"/>
  <c r="AM30" i="47"/>
  <c r="AF29" i="47"/>
  <c r="BG69" i="47"/>
  <c r="AY68" i="47"/>
  <c r="BM88" i="47"/>
  <c r="BN88" i="47" s="1"/>
  <c r="AX88" i="47"/>
  <c r="BF88" i="47" s="1"/>
  <c r="AP85" i="47"/>
  <c r="AV96" i="47"/>
  <c r="BH97" i="47"/>
  <c r="R118" i="47"/>
  <c r="AL123" i="47"/>
  <c r="AX123" i="47"/>
  <c r="AH121" i="47"/>
  <c r="AZ124" i="47"/>
  <c r="BH124" i="47" s="1"/>
  <c r="BH125" i="47"/>
  <c r="AH130" i="47"/>
  <c r="BK131" i="47"/>
  <c r="BL131" i="47" s="1"/>
  <c r="AL131" i="47"/>
  <c r="BH201" i="47"/>
  <c r="AZ196" i="47"/>
  <c r="AZ195" i="47" s="1"/>
  <c r="X14" i="47"/>
  <c r="BN17" i="47"/>
  <c r="AT27" i="47"/>
  <c r="BM27" i="47"/>
  <c r="BN27" i="47" s="1"/>
  <c r="AO30" i="47"/>
  <c r="BG31" i="47"/>
  <c r="AH43" i="47"/>
  <c r="BK45" i="47"/>
  <c r="BL45" i="47" s="1"/>
  <c r="BD58" i="47"/>
  <c r="AU66" i="47"/>
  <c r="AN68" i="47"/>
  <c r="AL69" i="47"/>
  <c r="BI69" i="47"/>
  <c r="BA68" i="47"/>
  <c r="BI68" i="47" s="1"/>
  <c r="BA70" i="47"/>
  <c r="BI75" i="47"/>
  <c r="BC77" i="47"/>
  <c r="AG77" i="47"/>
  <c r="AG76" i="47" s="1"/>
  <c r="BA85" i="47"/>
  <c r="BI85" i="47" s="1"/>
  <c r="Q85" i="47"/>
  <c r="BJ97" i="47"/>
  <c r="AO98" i="47"/>
  <c r="BK105" i="47"/>
  <c r="AH104" i="47"/>
  <c r="AX105" i="47"/>
  <c r="AP109" i="47"/>
  <c r="BM110" i="47"/>
  <c r="AX110" i="47"/>
  <c r="BL110" i="47"/>
  <c r="AN112" i="47"/>
  <c r="AP112" i="47"/>
  <c r="AT113" i="47"/>
  <c r="BI113" i="47"/>
  <c r="BE112" i="47"/>
  <c r="BL117" i="47"/>
  <c r="AJ118" i="47"/>
  <c r="AN118" i="47" s="1"/>
  <c r="AN119" i="47"/>
  <c r="AM122" i="47"/>
  <c r="AY122" i="47"/>
  <c r="AI121" i="47"/>
  <c r="BC118" i="47"/>
  <c r="BG124" i="47"/>
  <c r="BL125" i="47"/>
  <c r="BK126" i="47"/>
  <c r="BL126" i="47" s="1"/>
  <c r="AT130" i="47"/>
  <c r="BM130" i="47"/>
  <c r="BN130" i="47" s="1"/>
  <c r="BM132" i="47"/>
  <c r="BN132" i="47" s="1"/>
  <c r="AT132" i="47"/>
  <c r="BD134" i="47"/>
  <c r="AM138" i="47"/>
  <c r="BJ142" i="47"/>
  <c r="BN142" i="47" s="1"/>
  <c r="AL142" i="47"/>
  <c r="BK151" i="47"/>
  <c r="AL151" i="47"/>
  <c r="S151" i="47"/>
  <c r="S150" i="47" s="1"/>
  <c r="BL159" i="47"/>
  <c r="AO163" i="47"/>
  <c r="AK162" i="47"/>
  <c r="AO162" i="47" s="1"/>
  <c r="AV173" i="47"/>
  <c r="AR172" i="47"/>
  <c r="BN174" i="47"/>
  <c r="BH178" i="47"/>
  <c r="BD177" i="47"/>
  <c r="BH177" i="47" s="1"/>
  <c r="BG191" i="47"/>
  <c r="AY189" i="47"/>
  <c r="BG189" i="47" s="1"/>
  <c r="AL216" i="47"/>
  <c r="BK216" i="47"/>
  <c r="BL216" i="47" s="1"/>
  <c r="AZ223" i="47"/>
  <c r="BK224" i="47"/>
  <c r="BL224" i="47" s="1"/>
  <c r="AY224" i="47"/>
  <c r="AI223" i="47"/>
  <c r="AM224" i="47"/>
  <c r="AJ232" i="47"/>
  <c r="AN232" i="47" s="1"/>
  <c r="AN233" i="47"/>
  <c r="BE240" i="47"/>
  <c r="AD259" i="47"/>
  <c r="BJ259" i="47" s="1"/>
  <c r="BJ260" i="47"/>
  <c r="AT260" i="47"/>
  <c r="BI276" i="47"/>
  <c r="BK81" i="47"/>
  <c r="BL81" i="47" s="1"/>
  <c r="AL81" i="47"/>
  <c r="AL96" i="47"/>
  <c r="AT140" i="47"/>
  <c r="BM140" i="47"/>
  <c r="BN140" i="47" s="1"/>
  <c r="AM145" i="47"/>
  <c r="AT186" i="47"/>
  <c r="BJ186" i="47"/>
  <c r="BN186" i="47" s="1"/>
  <c r="AD184" i="47"/>
  <c r="BM225" i="47"/>
  <c r="BN225" i="47" s="1"/>
  <c r="AP223" i="47"/>
  <c r="AT225" i="47"/>
  <c r="AY233" i="47"/>
  <c r="AY232" i="47" s="1"/>
  <c r="BG232" i="47" s="1"/>
  <c r="BG234" i="47"/>
  <c r="BM56" i="47"/>
  <c r="BN56" i="47" s="1"/>
  <c r="AT56" i="47"/>
  <c r="AH59" i="47"/>
  <c r="AX61" i="47"/>
  <c r="BF61" i="47" s="1"/>
  <c r="BL66" i="47"/>
  <c r="BJ72" i="47"/>
  <c r="BL72" i="47" s="1"/>
  <c r="AD70" i="47"/>
  <c r="AL80" i="47"/>
  <c r="BL84" i="47"/>
  <c r="AM96" i="47"/>
  <c r="BK27" i="47"/>
  <c r="BL27" i="47" s="1"/>
  <c r="AX27" i="47"/>
  <c r="BF27" i="47" s="1"/>
  <c r="AM66" i="47"/>
  <c r="BG131" i="47"/>
  <c r="AY130" i="47"/>
  <c r="X163" i="47"/>
  <c r="X162" i="47" s="1"/>
  <c r="BE172" i="47"/>
  <c r="AZ22" i="47"/>
  <c r="BH22" i="47" s="1"/>
  <c r="BH23" i="47"/>
  <c r="AL27" i="47"/>
  <c r="BF39" i="47"/>
  <c r="S58" i="47"/>
  <c r="S41" i="47" s="1"/>
  <c r="BG92" i="47"/>
  <c r="AL110" i="47"/>
  <c r="AT120" i="47"/>
  <c r="BG130" i="47"/>
  <c r="BM217" i="47"/>
  <c r="BN217" i="47" s="1"/>
  <c r="AT217" i="47"/>
  <c r="BJ9" i="47"/>
  <c r="BI9" i="47"/>
  <c r="X24" i="47"/>
  <c r="BM26" i="47"/>
  <c r="BN26" i="47" s="1"/>
  <c r="BN40" i="47"/>
  <c r="BN65" i="47"/>
  <c r="BF69" i="47"/>
  <c r="AX68" i="47"/>
  <c r="BF68" i="47" s="1"/>
  <c r="X82" i="47"/>
  <c r="X81" i="47" s="1"/>
  <c r="AD85" i="47"/>
  <c r="BJ85" i="47" s="1"/>
  <c r="AX97" i="47"/>
  <c r="AW118" i="47"/>
  <c r="AP126" i="47"/>
  <c r="AX128" i="47"/>
  <c r="BF128" i="47" s="1"/>
  <c r="AT131" i="47"/>
  <c r="AD130" i="47"/>
  <c r="BJ130" i="47" s="1"/>
  <c r="AT147" i="47"/>
  <c r="AL172" i="47"/>
  <c r="BK172" i="47"/>
  <c r="BF23" i="47"/>
  <c r="BJ44" i="47"/>
  <c r="AL63" i="47"/>
  <c r="AL72" i="47"/>
  <c r="BI92" i="47"/>
  <c r="P135" i="47"/>
  <c r="P134" i="47" s="1"/>
  <c r="AF150" i="47"/>
  <c r="R183" i="47"/>
  <c r="X196" i="47"/>
  <c r="X195" i="47" s="1"/>
  <c r="BM199" i="47"/>
  <c r="BN199" i="47" s="1"/>
  <c r="AU199" i="47"/>
  <c r="BK205" i="47"/>
  <c r="AL205" i="47"/>
  <c r="AH204" i="47"/>
  <c r="AE204" i="47"/>
  <c r="AU213" i="47"/>
  <c r="AM214" i="47"/>
  <c r="BN219" i="47"/>
  <c r="BI233" i="47"/>
  <c r="BE232" i="47"/>
  <c r="BI232" i="47" s="1"/>
  <c r="BN234" i="47"/>
  <c r="BG244" i="47"/>
  <c r="BC240" i="47"/>
  <c r="AT246" i="47"/>
  <c r="BM246" i="47"/>
  <c r="BN246" i="47" s="1"/>
  <c r="BE8" i="47"/>
  <c r="BM9" i="47"/>
  <c r="BN9" i="47" s="1"/>
  <c r="BA30" i="47"/>
  <c r="AQ7" i="47"/>
  <c r="AU9" i="47"/>
  <c r="AW22" i="47"/>
  <c r="BK23" i="47"/>
  <c r="BL23" i="47" s="1"/>
  <c r="AY22" i="47"/>
  <c r="AD30" i="47"/>
  <c r="AW38" i="47"/>
  <c r="R43" i="47"/>
  <c r="R42" i="47" s="1"/>
  <c r="AU44" i="47"/>
  <c r="AM43" i="47"/>
  <c r="AI42" i="47"/>
  <c r="AX56" i="47"/>
  <c r="BF56" i="47" s="1"/>
  <c r="BK56" i="47"/>
  <c r="BL56" i="47" s="1"/>
  <c r="BE58" i="47"/>
  <c r="AX59" i="47"/>
  <c r="BF59" i="47" s="1"/>
  <c r="BF60" i="47"/>
  <c r="AO68" i="47"/>
  <c r="BF70" i="47"/>
  <c r="BJ81" i="47"/>
  <c r="BN81" i="47" s="1"/>
  <c r="AH85" i="47"/>
  <c r="BK97" i="47"/>
  <c r="AM103" i="47"/>
  <c r="AL105" i="47"/>
  <c r="AH108" i="47"/>
  <c r="BK109" i="47"/>
  <c r="BL109" i="47" s="1"/>
  <c r="AL109" i="47"/>
  <c r="AT110" i="47"/>
  <c r="AO112" i="47"/>
  <c r="BM115" i="47"/>
  <c r="BN115" i="47" s="1"/>
  <c r="AX115" i="47"/>
  <c r="BF115" i="47" s="1"/>
  <c r="AK118" i="47"/>
  <c r="AO118" i="47" s="1"/>
  <c r="AO119" i="47"/>
  <c r="BI122" i="47"/>
  <c r="BE134" i="47"/>
  <c r="BI134" i="47" s="1"/>
  <c r="AW135" i="47"/>
  <c r="AS134" i="47"/>
  <c r="AW134" i="47" s="1"/>
  <c r="AT152" i="47"/>
  <c r="AP151" i="47"/>
  <c r="BN160" i="47"/>
  <c r="BJ167" i="47"/>
  <c r="BL167" i="47" s="1"/>
  <c r="AM167" i="47"/>
  <c r="AE172" i="47"/>
  <c r="AM172" i="47" s="1"/>
  <c r="AM173" i="47"/>
  <c r="BE177" i="47"/>
  <c r="BI177" i="47" s="1"/>
  <c r="BI178" i="47"/>
  <c r="BF189" i="47"/>
  <c r="BB183" i="47"/>
  <c r="AZ189" i="47"/>
  <c r="BH191" i="47"/>
  <c r="AU203" i="47"/>
  <c r="AE196" i="47"/>
  <c r="AE195" i="47" s="1"/>
  <c r="X209" i="47"/>
  <c r="AN213" i="47"/>
  <c r="AJ204" i="47"/>
  <c r="BN226" i="47"/>
  <c r="AK232" i="47"/>
  <c r="AO232" i="47" s="1"/>
  <c r="AO233" i="47"/>
  <c r="AP240" i="47"/>
  <c r="BJ250" i="47"/>
  <c r="AE249" i="47"/>
  <c r="AE248" i="47" s="1"/>
  <c r="BE269" i="47"/>
  <c r="BC279" i="47"/>
  <c r="AI108" i="47"/>
  <c r="AM108" i="47" s="1"/>
  <c r="AM109" i="47"/>
  <c r="X114" i="47"/>
  <c r="X113" i="47" s="1"/>
  <c r="X112" i="47" s="1"/>
  <c r="AY138" i="47"/>
  <c r="BG138" i="47" s="1"/>
  <c r="AL147" i="47"/>
  <c r="AX147" i="47"/>
  <c r="BF147" i="47" s="1"/>
  <c r="AZ151" i="47"/>
  <c r="AX152" i="47"/>
  <c r="BF153" i="47"/>
  <c r="AO159" i="47"/>
  <c r="AK151" i="47"/>
  <c r="BN175" i="47"/>
  <c r="BG179" i="47"/>
  <c r="AY178" i="47"/>
  <c r="AR183" i="47"/>
  <c r="AV183" i="47" s="1"/>
  <c r="AV184" i="47"/>
  <c r="P184" i="47"/>
  <c r="AH189" i="47"/>
  <c r="BK191" i="47"/>
  <c r="AL191" i="47"/>
  <c r="X201" i="47"/>
  <c r="BA204" i="47"/>
  <c r="X205" i="47"/>
  <c r="X227" i="47"/>
  <c r="X223" i="47" s="1"/>
  <c r="X222" i="47" s="1"/>
  <c r="BM256" i="47"/>
  <c r="BN256" i="47" s="1"/>
  <c r="AI259" i="47"/>
  <c r="AM259" i="47" s="1"/>
  <c r="AY262" i="47"/>
  <c r="BG262" i="47" s="1"/>
  <c r="AY263" i="47"/>
  <c r="BG263" i="47" s="1"/>
  <c r="AV280" i="47"/>
  <c r="AR279" i="47"/>
  <c r="AV279" i="47" s="1"/>
  <c r="BG104" i="47"/>
  <c r="BA126" i="47"/>
  <c r="BI127" i="47"/>
  <c r="AL26" i="47"/>
  <c r="AI77" i="47"/>
  <c r="BN84" i="47"/>
  <c r="AX85" i="47"/>
  <c r="BF85" i="47" s="1"/>
  <c r="BH94" i="47"/>
  <c r="BH96" i="47"/>
  <c r="BC103" i="47"/>
  <c r="BG103" i="47" s="1"/>
  <c r="AN109" i="47"/>
  <c r="AJ108" i="47"/>
  <c r="AN108" i="47" s="1"/>
  <c r="BA112" i="47"/>
  <c r="Q121" i="47"/>
  <c r="AO126" i="47"/>
  <c r="P130" i="47"/>
  <c r="P118" i="47" s="1"/>
  <c r="P111" i="47" s="1"/>
  <c r="BN145" i="47"/>
  <c r="BK148" i="47"/>
  <c r="BL148" i="47" s="1"/>
  <c r="AL148" i="47"/>
  <c r="AX148" i="47"/>
  <c r="BF148" i="47" s="1"/>
  <c r="X153" i="47"/>
  <c r="X152" i="47" s="1"/>
  <c r="BF161" i="47"/>
  <c r="AX159" i="47"/>
  <c r="BF159" i="47" s="1"/>
  <c r="AF162" i="47"/>
  <c r="AV162" i="47" s="1"/>
  <c r="BK163" i="47"/>
  <c r="X182" i="47"/>
  <c r="X178" i="47" s="1"/>
  <c r="X177" i="47" s="1"/>
  <c r="AS183" i="47"/>
  <c r="AW183" i="47" s="1"/>
  <c r="AW184" i="47"/>
  <c r="BM203" i="47"/>
  <c r="BN203" i="47" s="1"/>
  <c r="AT203" i="47"/>
  <c r="BB204" i="47"/>
  <c r="BF205" i="47"/>
  <c r="AP213" i="47"/>
  <c r="BM215" i="47"/>
  <c r="BN215" i="47" s="1"/>
  <c r="AT215" i="47"/>
  <c r="BL215" i="47"/>
  <c r="AD223" i="47"/>
  <c r="AL223" i="47" s="1"/>
  <c r="BJ227" i="47"/>
  <c r="BN227" i="47" s="1"/>
  <c r="X229" i="47"/>
  <c r="BJ253" i="47"/>
  <c r="BN253" i="47" s="1"/>
  <c r="AU253" i="47"/>
  <c r="AU257" i="47"/>
  <c r="BM257" i="47"/>
  <c r="BN257" i="47" s="1"/>
  <c r="BM283" i="47"/>
  <c r="AT283" i="47"/>
  <c r="AP280" i="47"/>
  <c r="AX283" i="47"/>
  <c r="AM38" i="47"/>
  <c r="BL106" i="47"/>
  <c r="AZ112" i="47"/>
  <c r="BH112" i="47" s="1"/>
  <c r="AN126" i="47"/>
  <c r="AV9" i="47"/>
  <c r="X10" i="47"/>
  <c r="X9" i="47" s="1"/>
  <c r="AW9" i="47"/>
  <c r="AT25" i="47"/>
  <c r="AT45" i="47"/>
  <c r="AS50" i="47"/>
  <c r="AH53" i="47"/>
  <c r="AT63" i="47"/>
  <c r="AH64" i="47"/>
  <c r="AX65" i="47"/>
  <c r="AN78" i="47"/>
  <c r="AY85" i="47"/>
  <c r="BG85" i="47" s="1"/>
  <c r="AL92" i="47"/>
  <c r="BJ94" i="47"/>
  <c r="BL94" i="47" s="1"/>
  <c r="BI94" i="47"/>
  <c r="X95" i="47"/>
  <c r="X94" i="47" s="1"/>
  <c r="AO109" i="47"/>
  <c r="BB112" i="47"/>
  <c r="AD112" i="47"/>
  <c r="BJ113" i="47"/>
  <c r="BN113" i="47" s="1"/>
  <c r="BH119" i="47"/>
  <c r="AX120" i="47"/>
  <c r="AN121" i="47"/>
  <c r="AZ135" i="47"/>
  <c r="AZ134" i="47" s="1"/>
  <c r="AM142" i="47"/>
  <c r="BF152" i="47"/>
  <c r="AW163" i="47"/>
  <c r="AU164" i="47"/>
  <c r="AQ163" i="47"/>
  <c r="BM165" i="47"/>
  <c r="BN165" i="47" s="1"/>
  <c r="AU165" i="47"/>
  <c r="BK173" i="47"/>
  <c r="BL173" i="47" s="1"/>
  <c r="AL173" i="47"/>
  <c r="AU189" i="47"/>
  <c r="BM189" i="47"/>
  <c r="BN189" i="47" s="1"/>
  <c r="BL190" i="47"/>
  <c r="AV195" i="47"/>
  <c r="BB195" i="47"/>
  <c r="BG205" i="47"/>
  <c r="BC204" i="47"/>
  <c r="AL227" i="47"/>
  <c r="BK227" i="47"/>
  <c r="BL227" i="47" s="1"/>
  <c r="BH250" i="47"/>
  <c r="AZ249" i="47"/>
  <c r="AZ248" i="47" s="1"/>
  <c r="AU256" i="47"/>
  <c r="AM262" i="47"/>
  <c r="X280" i="47"/>
  <c r="X279" i="47" s="1"/>
  <c r="BL282" i="47"/>
  <c r="AL125" i="47"/>
  <c r="AX125" i="47"/>
  <c r="P22" i="47"/>
  <c r="Q43" i="47"/>
  <c r="Q42" i="47" s="1"/>
  <c r="AI64" i="47"/>
  <c r="AY65" i="47"/>
  <c r="AT66" i="47"/>
  <c r="BM74" i="47"/>
  <c r="BN74" i="47" s="1"/>
  <c r="AO78" i="47"/>
  <c r="AL82" i="47"/>
  <c r="BH86" i="47"/>
  <c r="AZ85" i="47"/>
  <c r="BH85" i="47" s="1"/>
  <c r="AT89" i="47"/>
  <c r="AU94" i="47"/>
  <c r="AU108" i="47"/>
  <c r="Q112" i="47"/>
  <c r="AL120" i="47"/>
  <c r="BI120" i="47"/>
  <c r="AH124" i="47"/>
  <c r="BL133" i="47"/>
  <c r="AV135" i="47"/>
  <c r="AR134" i="47"/>
  <c r="AV134" i="47" s="1"/>
  <c r="AY136" i="47"/>
  <c r="AI135" i="47"/>
  <c r="BK136" i="47"/>
  <c r="BL136" i="47" s="1"/>
  <c r="BI136" i="47"/>
  <c r="BA135" i="47"/>
  <c r="BA134" i="47" s="1"/>
  <c r="AY143" i="47"/>
  <c r="BG143" i="47" s="1"/>
  <c r="X144" i="47"/>
  <c r="X135" i="47" s="1"/>
  <c r="X134" i="47" s="1"/>
  <c r="AT146" i="47"/>
  <c r="BL146" i="47"/>
  <c r="AS150" i="47"/>
  <c r="AW150" i="47" s="1"/>
  <c r="AW151" i="47"/>
  <c r="X159" i="47"/>
  <c r="AX163" i="47"/>
  <c r="S184" i="47"/>
  <c r="S183" i="47" s="1"/>
  <c r="BN192" i="47"/>
  <c r="BC195" i="47"/>
  <c r="AL202" i="47"/>
  <c r="AD196" i="47"/>
  <c r="BH205" i="47"/>
  <c r="BD204" i="47"/>
  <c r="AT208" i="47"/>
  <c r="AD205" i="47"/>
  <c r="AL208" i="47"/>
  <c r="BG220" i="47"/>
  <c r="AY217" i="47"/>
  <c r="BG217" i="47" s="1"/>
  <c r="BG237" i="47"/>
  <c r="AY236" i="47"/>
  <c r="AY235" i="47" s="1"/>
  <c r="Q240" i="47"/>
  <c r="BN244" i="47"/>
  <c r="AX251" i="47"/>
  <c r="BF251" i="47" s="1"/>
  <c r="AM253" i="47"/>
  <c r="BK253" i="47"/>
  <c r="BL253" i="47" s="1"/>
  <c r="AY253" i="47"/>
  <c r="BG253" i="47" s="1"/>
  <c r="BN254" i="47"/>
  <c r="BD269" i="47"/>
  <c r="BH273" i="47"/>
  <c r="AO213" i="47"/>
  <c r="AK204" i="47"/>
  <c r="BG235" i="47"/>
  <c r="BK236" i="47"/>
  <c r="BN239" i="47"/>
  <c r="BA244" i="47"/>
  <c r="BI244" i="47" s="1"/>
  <c r="BI245" i="47"/>
  <c r="AY246" i="47"/>
  <c r="BG246" i="47" s="1"/>
  <c r="BF247" i="47"/>
  <c r="AX246" i="47"/>
  <c r="AQ249" i="47"/>
  <c r="AU251" i="47"/>
  <c r="BK257" i="47"/>
  <c r="BL257" i="47" s="1"/>
  <c r="AY257" i="47"/>
  <c r="BG257" i="47" s="1"/>
  <c r="AM257" i="47"/>
  <c r="BK115" i="47"/>
  <c r="BL115" i="47" s="1"/>
  <c r="AH113" i="47"/>
  <c r="BG116" i="47"/>
  <c r="BL139" i="47"/>
  <c r="X166" i="47"/>
  <c r="AU178" i="47"/>
  <c r="AQ177" i="47"/>
  <c r="AU177" i="47" s="1"/>
  <c r="AQ112" i="47"/>
  <c r="AL115" i="47"/>
  <c r="AT116" i="47"/>
  <c r="S135" i="47"/>
  <c r="S134" i="47" s="1"/>
  <c r="AL137" i="47"/>
  <c r="AU140" i="47"/>
  <c r="BE150" i="47"/>
  <c r="AV152" i="47"/>
  <c r="AM151" i="47"/>
  <c r="BG173" i="47"/>
  <c r="AD177" i="47"/>
  <c r="BJ177" i="47" s="1"/>
  <c r="AE183" i="47"/>
  <c r="AM183" i="47" s="1"/>
  <c r="BL185" i="47"/>
  <c r="AV196" i="47"/>
  <c r="BK198" i="47"/>
  <c r="BL198" i="47" s="1"/>
  <c r="AI196" i="47"/>
  <c r="BL201" i="47"/>
  <c r="BN201" i="47"/>
  <c r="BF214" i="47"/>
  <c r="AN223" i="47"/>
  <c r="AJ222" i="47"/>
  <c r="BI235" i="47"/>
  <c r="AT238" i="47"/>
  <c r="BM238" i="47"/>
  <c r="AP236" i="47"/>
  <c r="AZ241" i="47"/>
  <c r="BH242" i="47"/>
  <c r="AL244" i="47"/>
  <c r="BK244" i="47"/>
  <c r="BL244" i="47" s="1"/>
  <c r="BJ244" i="47"/>
  <c r="AT244" i="47"/>
  <c r="AN270" i="47"/>
  <c r="AF269" i="47"/>
  <c r="AV269" i="47" s="1"/>
  <c r="AM141" i="47"/>
  <c r="AX95" i="47"/>
  <c r="BG98" i="47"/>
  <c r="AT99" i="47"/>
  <c r="BM99" i="47"/>
  <c r="AR112" i="47"/>
  <c r="AU116" i="47"/>
  <c r="AZ121" i="47"/>
  <c r="BH121" i="47" s="1"/>
  <c r="BJ123" i="47"/>
  <c r="AD121" i="47"/>
  <c r="AD126" i="47"/>
  <c r="BJ126" i="47" s="1"/>
  <c r="AM137" i="47"/>
  <c r="AL139" i="47"/>
  <c r="AZ163" i="47"/>
  <c r="BA173" i="47"/>
  <c r="BA172" i="47" s="1"/>
  <c r="R178" i="47"/>
  <c r="R177" i="47" s="1"/>
  <c r="BF179" i="47"/>
  <c r="AX178" i="47"/>
  <c r="BN185" i="47"/>
  <c r="BN190" i="47"/>
  <c r="AW196" i="47"/>
  <c r="P196" i="47"/>
  <c r="P195" i="47" s="1"/>
  <c r="BM197" i="47"/>
  <c r="BN197" i="47" s="1"/>
  <c r="AY197" i="47"/>
  <c r="AQ196" i="47"/>
  <c r="BL200" i="47"/>
  <c r="Q205" i="47"/>
  <c r="Q204" i="47" s="1"/>
  <c r="AH213" i="47"/>
  <c r="AL214" i="47"/>
  <c r="BK214" i="47"/>
  <c r="BL214" i="47" s="1"/>
  <c r="BH217" i="47"/>
  <c r="BM230" i="47"/>
  <c r="BN230" i="47" s="1"/>
  <c r="AU230" i="47"/>
  <c r="AY230" i="47"/>
  <c r="BG230" i="47" s="1"/>
  <c r="BM231" i="47"/>
  <c r="BN231" i="47" s="1"/>
  <c r="AT231" i="47"/>
  <c r="AX233" i="47"/>
  <c r="AX232" i="47" s="1"/>
  <c r="BF234" i="47"/>
  <c r="BK242" i="47"/>
  <c r="BL242" i="47" s="1"/>
  <c r="AX242" i="47"/>
  <c r="AH241" i="47"/>
  <c r="BI242" i="47"/>
  <c r="BA241" i="47"/>
  <c r="AX245" i="47"/>
  <c r="BK245" i="47"/>
  <c r="AL245" i="47"/>
  <c r="BJ245" i="47"/>
  <c r="BF246" i="47"/>
  <c r="AZ246" i="47"/>
  <c r="BH246" i="47" s="1"/>
  <c r="BH247" i="47"/>
  <c r="BL256" i="47"/>
  <c r="BB269" i="47"/>
  <c r="BF277" i="47"/>
  <c r="AX276" i="47"/>
  <c r="BF276" i="47" s="1"/>
  <c r="AU280" i="47"/>
  <c r="AQ279" i="47"/>
  <c r="AT129" i="47"/>
  <c r="BH159" i="47"/>
  <c r="AS177" i="47"/>
  <c r="AW177" i="47" s="1"/>
  <c r="AW178" i="47"/>
  <c r="AO184" i="47"/>
  <c r="BI196" i="47"/>
  <c r="AX202" i="47"/>
  <c r="BF202" i="47" s="1"/>
  <c r="BI205" i="47"/>
  <c r="R217" i="47"/>
  <c r="BF218" i="47"/>
  <c r="AX217" i="47"/>
  <c r="BF217" i="47" s="1"/>
  <c r="BM220" i="47"/>
  <c r="BN220" i="47" s="1"/>
  <c r="AT220" i="47"/>
  <c r="Q223" i="47"/>
  <c r="Q222" i="47" s="1"/>
  <c r="BL225" i="47"/>
  <c r="AV246" i="47"/>
  <c r="AR240" i="47"/>
  <c r="AV240" i="47" s="1"/>
  <c r="AR248" i="47"/>
  <c r="AV249" i="47"/>
  <c r="S249" i="47"/>
  <c r="S248" i="47" s="1"/>
  <c r="S194" i="47" s="1"/>
  <c r="AW266" i="47"/>
  <c r="AV270" i="47"/>
  <c r="AJ269" i="47"/>
  <c r="AN269" i="47" s="1"/>
  <c r="AN276" i="47"/>
  <c r="BI278" i="47"/>
  <c r="BA276" i="47"/>
  <c r="BA269" i="47" s="1"/>
  <c r="AL283" i="47"/>
  <c r="BJ283" i="47"/>
  <c r="BL283" i="47" s="1"/>
  <c r="AN135" i="47"/>
  <c r="AN151" i="47"/>
  <c r="AU169" i="47"/>
  <c r="BL169" i="47"/>
  <c r="P172" i="47"/>
  <c r="AX173" i="47"/>
  <c r="BF174" i="47"/>
  <c r="BN176" i="47"/>
  <c r="BH189" i="47"/>
  <c r="AN195" i="47"/>
  <c r="AY202" i="47"/>
  <c r="BG202" i="47" s="1"/>
  <c r="Q209" i="47"/>
  <c r="BM210" i="47"/>
  <c r="AT210" i="47"/>
  <c r="AP209" i="47"/>
  <c r="AX215" i="47"/>
  <c r="BF215" i="47" s="1"/>
  <c r="AM229" i="47"/>
  <c r="AY229" i="47"/>
  <c r="BG229" i="47" s="1"/>
  <c r="BJ238" i="47"/>
  <c r="BL238" i="47" s="1"/>
  <c r="AD236" i="47"/>
  <c r="AM241" i="47"/>
  <c r="AY244" i="47"/>
  <c r="BG245" i="47"/>
  <c r="AO259" i="47"/>
  <c r="AK248" i="47"/>
  <c r="AZ259" i="47"/>
  <c r="BH259" i="47" s="1"/>
  <c r="X266" i="47"/>
  <c r="AW270" i="47"/>
  <c r="AS269" i="47"/>
  <c r="AW269" i="47" s="1"/>
  <c r="AY280" i="47"/>
  <c r="AY279" i="47" s="1"/>
  <c r="BG282" i="47"/>
  <c r="BL127" i="47"/>
  <c r="BM129" i="47"/>
  <c r="BN129" i="47" s="1"/>
  <c r="AX136" i="47"/>
  <c r="AL143" i="47"/>
  <c r="BM169" i="47"/>
  <c r="BN169" i="47" s="1"/>
  <c r="AO195" i="47"/>
  <c r="BE195" i="47"/>
  <c r="AX196" i="47"/>
  <c r="AX195" i="47" s="1"/>
  <c r="BM200" i="47"/>
  <c r="BN200" i="47" s="1"/>
  <c r="AU200" i="47"/>
  <c r="AU205" i="47"/>
  <c r="AZ217" i="47"/>
  <c r="BH218" i="47"/>
  <c r="AX238" i="47"/>
  <c r="AJ240" i="47"/>
  <c r="AN240" i="47" s="1"/>
  <c r="AN241" i="47"/>
  <c r="AY240" i="47"/>
  <c r="X250" i="47"/>
  <c r="X252" i="47"/>
  <c r="BL260" i="47"/>
  <c r="BK262" i="47"/>
  <c r="BL262" i="47" s="1"/>
  <c r="AX262" i="47"/>
  <c r="AH259" i="47"/>
  <c r="AD269" i="47"/>
  <c r="BN271" i="47"/>
  <c r="BL271" i="47"/>
  <c r="BM272" i="47"/>
  <c r="BN272" i="47" s="1"/>
  <c r="AX272" i="47"/>
  <c r="BF272" i="47" s="1"/>
  <c r="BL277" i="47"/>
  <c r="AW279" i="47"/>
  <c r="AD280" i="47"/>
  <c r="BK178" i="47"/>
  <c r="BL178" i="47" s="1"/>
  <c r="BL181" i="47"/>
  <c r="X215" i="47"/>
  <c r="AK222" i="47"/>
  <c r="AO223" i="47"/>
  <c r="AX225" i="47"/>
  <c r="BM233" i="47"/>
  <c r="AN266" i="47"/>
  <c r="AP276" i="47"/>
  <c r="AT277" i="47"/>
  <c r="BM277" i="47"/>
  <c r="BN277" i="47" s="1"/>
  <c r="AO279" i="47"/>
  <c r="AM178" i="47"/>
  <c r="BF184" i="47"/>
  <c r="AY211" i="47"/>
  <c r="BG211" i="47" s="1"/>
  <c r="X219" i="47"/>
  <c r="X217" i="47" s="1"/>
  <c r="BG236" i="47"/>
  <c r="BK247" i="47"/>
  <c r="BL247" i="47" s="1"/>
  <c r="AH246" i="47"/>
  <c r="AL247" i="47"/>
  <c r="AY252" i="47"/>
  <c r="BG252" i="47" s="1"/>
  <c r="X256" i="47"/>
  <c r="AT262" i="47"/>
  <c r="X187" i="47"/>
  <c r="BI209" i="47"/>
  <c r="R213" i="47"/>
  <c r="R204" i="47" s="1"/>
  <c r="R194" i="47" s="1"/>
  <c r="AR232" i="47"/>
  <c r="AV232" i="47" s="1"/>
  <c r="AV233" i="47"/>
  <c r="BB235" i="47"/>
  <c r="BD235" i="47"/>
  <c r="BH235" i="47" s="1"/>
  <c r="BH236" i="47"/>
  <c r="BM241" i="47"/>
  <c r="BN241" i="47" s="1"/>
  <c r="AT241" i="47"/>
  <c r="X261" i="47"/>
  <c r="BK273" i="47"/>
  <c r="AL273" i="47"/>
  <c r="BK234" i="47"/>
  <c r="BL234" i="47" s="1"/>
  <c r="AH233" i="47"/>
  <c r="AL234" i="47"/>
  <c r="AU235" i="47"/>
  <c r="BI236" i="47"/>
  <c r="AF248" i="47"/>
  <c r="AN248" i="47" s="1"/>
  <c r="P249" i="47"/>
  <c r="P248" i="47" s="1"/>
  <c r="AL260" i="47"/>
  <c r="BL265" i="47"/>
  <c r="AY266" i="47"/>
  <c r="AO270" i="47"/>
  <c r="AK269" i="47"/>
  <c r="AO269" i="47" s="1"/>
  <c r="AU273" i="47"/>
  <c r="AZ280" i="47"/>
  <c r="AZ279" i="47" s="1"/>
  <c r="AQ223" i="47"/>
  <c r="AY227" i="47"/>
  <c r="BG227" i="47" s="1"/>
  <c r="AK240" i="47"/>
  <c r="AO240" i="47" s="1"/>
  <c r="AG248" i="47"/>
  <c r="Q249" i="47"/>
  <c r="Q248" i="47" s="1"/>
  <c r="AU250" i="47"/>
  <c r="BL263" i="47"/>
  <c r="AH276" i="47"/>
  <c r="BK278" i="47"/>
  <c r="BL278" i="47" s="1"/>
  <c r="AX278" i="47"/>
  <c r="BF278" i="47" s="1"/>
  <c r="AM233" i="47"/>
  <c r="AW236" i="47"/>
  <c r="AL243" i="47"/>
  <c r="AW244" i="47"/>
  <c r="BN247" i="47"/>
  <c r="R249" i="47"/>
  <c r="R248" i="47" s="1"/>
  <c r="AL261" i="47"/>
  <c r="AX271" i="47"/>
  <c r="AH270" i="47"/>
  <c r="AD273" i="47"/>
  <c r="AU277" i="47"/>
  <c r="AR235" i="47"/>
  <c r="AV235" i="47" s="1"/>
  <c r="AV236" i="47"/>
  <c r="X237" i="47"/>
  <c r="X236" i="47" s="1"/>
  <c r="X235" i="47" s="1"/>
  <c r="AG240" i="47"/>
  <c r="AW240" i="47" s="1"/>
  <c r="BM245" i="47"/>
  <c r="AT245" i="47"/>
  <c r="AT247" i="47"/>
  <c r="AS248" i="47"/>
  <c r="AW248" i="47" s="1"/>
  <c r="AW249" i="47"/>
  <c r="AL253" i="47"/>
  <c r="AX253" i="47"/>
  <c r="BF253" i="47" s="1"/>
  <c r="AN259" i="47"/>
  <c r="AP259" i="47"/>
  <c r="BM260" i="47"/>
  <c r="BI261" i="47"/>
  <c r="BA259" i="47"/>
  <c r="BM263" i="47"/>
  <c r="BN263" i="47" s="1"/>
  <c r="BG266" i="47"/>
  <c r="AE269" i="47"/>
  <c r="AL272" i="47"/>
  <c r="BK275" i="47"/>
  <c r="BL275" i="47" s="1"/>
  <c r="P280" i="47"/>
  <c r="P279" i="47" s="1"/>
  <c r="BL255" i="47"/>
  <c r="AT268" i="47"/>
  <c r="BC269" i="47"/>
  <c r="BG270" i="47"/>
  <c r="AN273" i="47"/>
  <c r="AL277" i="47"/>
  <c r="BH270" i="47"/>
  <c r="BF274" i="47"/>
  <c r="AX273" i="47"/>
  <c r="BF273" i="47" s="1"/>
  <c r="AX252" i="47"/>
  <c r="BF252" i="47" s="1"/>
  <c r="BG224" i="47" l="1"/>
  <c r="AY223" i="47"/>
  <c r="BD150" i="47"/>
  <c r="BH151" i="47"/>
  <c r="AZ240" i="47"/>
  <c r="BH240" i="47" s="1"/>
  <c r="BH241" i="47"/>
  <c r="AZ269" i="47"/>
  <c r="AZ194" i="47" s="1"/>
  <c r="AL124" i="47"/>
  <c r="BK124" i="47"/>
  <c r="BL105" i="47"/>
  <c r="BH30" i="47"/>
  <c r="BM276" i="47"/>
  <c r="BN276" i="47" s="1"/>
  <c r="AT276" i="47"/>
  <c r="AT236" i="47"/>
  <c r="AP235" i="47"/>
  <c r="BM236" i="47"/>
  <c r="BN236" i="47" s="1"/>
  <c r="AX92" i="47"/>
  <c r="BF92" i="47" s="1"/>
  <c r="BF93" i="47"/>
  <c r="BG250" i="47"/>
  <c r="AY249" i="47"/>
  <c r="AX29" i="47"/>
  <c r="BF29" i="47" s="1"/>
  <c r="BF30" i="47"/>
  <c r="AU77" i="47"/>
  <c r="AQ76" i="47"/>
  <c r="AU76" i="47" s="1"/>
  <c r="BK266" i="47"/>
  <c r="BL266" i="47" s="1"/>
  <c r="AL266" i="47"/>
  <c r="BJ78" i="47"/>
  <c r="BN78" i="47" s="1"/>
  <c r="AD77" i="47"/>
  <c r="AU279" i="47"/>
  <c r="AQ222" i="47"/>
  <c r="AU222" i="47" s="1"/>
  <c r="AU223" i="47"/>
  <c r="BG113" i="47"/>
  <c r="BI30" i="47"/>
  <c r="BC111" i="47"/>
  <c r="BG214" i="47"/>
  <c r="AY213" i="47"/>
  <c r="BG213" i="47" s="1"/>
  <c r="AL22" i="47"/>
  <c r="BK22" i="47"/>
  <c r="BJ98" i="47"/>
  <c r="BN98" i="47" s="1"/>
  <c r="AT98" i="47"/>
  <c r="BJ151" i="47"/>
  <c r="BL151" i="47" s="1"/>
  <c r="AD150" i="47"/>
  <c r="Q41" i="47"/>
  <c r="Q284" i="47" s="1"/>
  <c r="BA118" i="47"/>
  <c r="BI118" i="47" s="1"/>
  <c r="BI126" i="47"/>
  <c r="BG279" i="47"/>
  <c r="AE194" i="47"/>
  <c r="BK59" i="47"/>
  <c r="AH58" i="47"/>
  <c r="AL59" i="47"/>
  <c r="AM121" i="47"/>
  <c r="AJ111" i="47"/>
  <c r="AN111" i="47" s="1"/>
  <c r="AE162" i="47"/>
  <c r="BJ163" i="47"/>
  <c r="BL163" i="47" s="1"/>
  <c r="BF232" i="47"/>
  <c r="BG233" i="47"/>
  <c r="AW77" i="47"/>
  <c r="AX266" i="47"/>
  <c r="BF266" i="47" s="1"/>
  <c r="BF267" i="47"/>
  <c r="AX249" i="47"/>
  <c r="BF250" i="47"/>
  <c r="AY77" i="47"/>
  <c r="AY76" i="47" s="1"/>
  <c r="BG78" i="47"/>
  <c r="AQ134" i="47"/>
  <c r="AU134" i="47" s="1"/>
  <c r="AU135" i="47"/>
  <c r="AD248" i="47"/>
  <c r="BJ248" i="47" s="1"/>
  <c r="R111" i="47"/>
  <c r="R85" i="47" s="1"/>
  <c r="R77" i="47" s="1"/>
  <c r="R76" i="47" s="1"/>
  <c r="BN167" i="47"/>
  <c r="BL25" i="47"/>
  <c r="AL177" i="47"/>
  <c r="BN97" i="47"/>
  <c r="AT249" i="47"/>
  <c r="BM249" i="47"/>
  <c r="BN249" i="47" s="1"/>
  <c r="AP248" i="47"/>
  <c r="BK113" i="47"/>
  <c r="BL113" i="47" s="1"/>
  <c r="AL113" i="47"/>
  <c r="AH112" i="47"/>
  <c r="BG153" i="47"/>
  <c r="AY152" i="47"/>
  <c r="AY183" i="47"/>
  <c r="BG183" i="47" s="1"/>
  <c r="BG184" i="47"/>
  <c r="AZ162" i="47"/>
  <c r="BH162" i="47" s="1"/>
  <c r="BH163" i="47"/>
  <c r="BI172" i="47"/>
  <c r="AN29" i="47"/>
  <c r="BK246" i="47"/>
  <c r="BL246" i="47" s="1"/>
  <c r="AL246" i="47"/>
  <c r="AS194" i="47"/>
  <c r="AW194" i="47" s="1"/>
  <c r="BJ196" i="47"/>
  <c r="AD195" i="47"/>
  <c r="AY177" i="47"/>
  <c r="BG177" i="47" s="1"/>
  <c r="BG178" i="47"/>
  <c r="BD7" i="47"/>
  <c r="BI259" i="47"/>
  <c r="BA248" i="47"/>
  <c r="BI248" i="47" s="1"/>
  <c r="BF173" i="47"/>
  <c r="AX172" i="47"/>
  <c r="BF172" i="47" s="1"/>
  <c r="BL245" i="47"/>
  <c r="BJ240" i="47"/>
  <c r="AY64" i="47"/>
  <c r="BG65" i="47"/>
  <c r="AT94" i="47"/>
  <c r="BM94" i="47"/>
  <c r="BN94" i="47" s="1"/>
  <c r="AI58" i="47"/>
  <c r="AM58" i="47" s="1"/>
  <c r="AM64" i="47"/>
  <c r="X204" i="47"/>
  <c r="X194" i="47" s="1"/>
  <c r="AT266" i="47"/>
  <c r="BM266" i="47"/>
  <c r="BN266" i="47" s="1"/>
  <c r="BM96" i="47"/>
  <c r="BN96" i="47" s="1"/>
  <c r="AT96" i="47"/>
  <c r="BN260" i="47"/>
  <c r="Q111" i="47"/>
  <c r="AK150" i="47"/>
  <c r="AO150" i="47" s="1"/>
  <c r="AO151" i="47"/>
  <c r="AY121" i="47"/>
  <c r="BG122" i="47"/>
  <c r="BG77" i="47"/>
  <c r="BC76" i="47"/>
  <c r="BG76" i="47" s="1"/>
  <c r="BK43" i="47"/>
  <c r="BL43" i="47" s="1"/>
  <c r="AL43" i="47"/>
  <c r="AH42" i="47"/>
  <c r="BI135" i="47"/>
  <c r="BF233" i="47"/>
  <c r="AX22" i="47"/>
  <c r="BF22" i="47" s="1"/>
  <c r="AY70" i="47"/>
  <c r="BG70" i="47" s="1"/>
  <c r="BG71" i="47"/>
  <c r="AJ76" i="47"/>
  <c r="AN76" i="47" s="1"/>
  <c r="AN77" i="47"/>
  <c r="AL126" i="47"/>
  <c r="BF8" i="47"/>
  <c r="BB7" i="47"/>
  <c r="AL249" i="47"/>
  <c r="BK249" i="47"/>
  <c r="BL249" i="47" s="1"/>
  <c r="AH248" i="47"/>
  <c r="BN123" i="47"/>
  <c r="BD194" i="47"/>
  <c r="BH195" i="47"/>
  <c r="AW8" i="47"/>
  <c r="AG7" i="47"/>
  <c r="AG284" i="47" s="1"/>
  <c r="BB41" i="47"/>
  <c r="AX183" i="47"/>
  <c r="BF183" i="47" s="1"/>
  <c r="BL145" i="47"/>
  <c r="AQ118" i="47"/>
  <c r="AU118" i="47" s="1"/>
  <c r="AU121" i="47"/>
  <c r="BH249" i="47"/>
  <c r="BI77" i="47"/>
  <c r="BE76" i="47"/>
  <c r="BI76" i="47" s="1"/>
  <c r="AX8" i="47"/>
  <c r="AX7" i="47" s="1"/>
  <c r="AX53" i="47"/>
  <c r="BF53" i="47" s="1"/>
  <c r="AX270" i="47"/>
  <c r="BF271" i="47"/>
  <c r="BK189" i="47"/>
  <c r="BL189" i="47" s="1"/>
  <c r="AL189" i="47"/>
  <c r="AD29" i="47"/>
  <c r="BJ30" i="47"/>
  <c r="BN30" i="47" s="1"/>
  <c r="AT30" i="47"/>
  <c r="BG274" i="47"/>
  <c r="AY273" i="47"/>
  <c r="BJ22" i="47"/>
  <c r="BN22" i="47" s="1"/>
  <c r="AT22" i="47"/>
  <c r="BF123" i="47"/>
  <c r="AX121" i="47"/>
  <c r="BF121" i="47" s="1"/>
  <c r="AD279" i="47"/>
  <c r="AL280" i="47"/>
  <c r="BJ280" i="47"/>
  <c r="AX94" i="47"/>
  <c r="BF94" i="47" s="1"/>
  <c r="BF95" i="47"/>
  <c r="BK108" i="47"/>
  <c r="BL108" i="47" s="1"/>
  <c r="AL108" i="47"/>
  <c r="AL98" i="47"/>
  <c r="BK98" i="47"/>
  <c r="BL98" i="47" s="1"/>
  <c r="S284" i="47"/>
  <c r="AU8" i="47"/>
  <c r="BM135" i="47"/>
  <c r="BN135" i="47" s="1"/>
  <c r="AP134" i="47"/>
  <c r="AT135" i="47"/>
  <c r="BM177" i="47"/>
  <c r="BN177" i="47" s="1"/>
  <c r="AT177" i="47"/>
  <c r="BL30" i="47"/>
  <c r="BD76" i="47"/>
  <c r="BH76" i="47" s="1"/>
  <c r="BH77" i="47"/>
  <c r="AU7" i="47"/>
  <c r="BM112" i="47"/>
  <c r="BN112" i="47" s="1"/>
  <c r="AT112" i="47"/>
  <c r="AP111" i="47"/>
  <c r="BJ172" i="47"/>
  <c r="BC41" i="47"/>
  <c r="AU112" i="47"/>
  <c r="R150" i="47"/>
  <c r="AT189" i="47"/>
  <c r="AQ248" i="47"/>
  <c r="AU248" i="47" s="1"/>
  <c r="AU249" i="47"/>
  <c r="BJ112" i="47"/>
  <c r="AO248" i="47"/>
  <c r="BF113" i="47"/>
  <c r="AT78" i="47"/>
  <c r="BL186" i="47"/>
  <c r="AS49" i="47"/>
  <c r="BA50" i="47"/>
  <c r="BI50" i="47" s="1"/>
  <c r="AW50" i="47"/>
  <c r="BM50" i="47"/>
  <c r="BN50" i="47" s="1"/>
  <c r="AK111" i="47"/>
  <c r="AO111" i="47" s="1"/>
  <c r="BF110" i="47"/>
  <c r="AX109" i="47"/>
  <c r="AL100" i="47"/>
  <c r="BK100" i="47"/>
  <c r="BL100" i="47" s="1"/>
  <c r="BM196" i="47"/>
  <c r="BN196" i="47" s="1"/>
  <c r="AT196" i="47"/>
  <c r="AP195" i="47"/>
  <c r="AU172" i="47"/>
  <c r="BM172" i="47"/>
  <c r="BN172" i="47" s="1"/>
  <c r="AT172" i="47"/>
  <c r="BJ59" i="47"/>
  <c r="BN59" i="47" s="1"/>
  <c r="AD58" i="47"/>
  <c r="BJ58" i="47" s="1"/>
  <c r="BI204" i="47"/>
  <c r="AL217" i="47"/>
  <c r="BK217" i="47"/>
  <c r="BL217" i="47" s="1"/>
  <c r="AT121" i="47"/>
  <c r="BM121" i="47"/>
  <c r="AT70" i="47"/>
  <c r="BM70" i="47"/>
  <c r="BH196" i="47"/>
  <c r="AU58" i="47"/>
  <c r="AQ41" i="47"/>
  <c r="AU41" i="47" s="1"/>
  <c r="BA58" i="47"/>
  <c r="BI58" i="47" s="1"/>
  <c r="BL142" i="47"/>
  <c r="AZ58" i="47"/>
  <c r="BH248" i="47"/>
  <c r="BN72" i="47"/>
  <c r="AT104" i="47"/>
  <c r="AP103" i="47"/>
  <c r="BM104" i="47"/>
  <c r="BN104" i="47" s="1"/>
  <c r="AT240" i="47"/>
  <c r="BM240" i="47"/>
  <c r="BN240" i="47" s="1"/>
  <c r="BF105" i="47"/>
  <c r="AX104" i="47"/>
  <c r="AL121" i="47"/>
  <c r="BK121" i="47"/>
  <c r="AH118" i="47"/>
  <c r="AY163" i="47"/>
  <c r="BG164" i="47"/>
  <c r="AO42" i="47"/>
  <c r="AK41" i="47"/>
  <c r="AO41" i="47" s="1"/>
  <c r="BH204" i="47"/>
  <c r="AX58" i="47"/>
  <c r="BF58" i="47" s="1"/>
  <c r="BL280" i="47"/>
  <c r="BE41" i="47"/>
  <c r="BI184" i="47"/>
  <c r="AZ222" i="47"/>
  <c r="BH222" i="47" s="1"/>
  <c r="BH223" i="47"/>
  <c r="BI112" i="47"/>
  <c r="BE111" i="47"/>
  <c r="BH135" i="47"/>
  <c r="AY196" i="47"/>
  <c r="BG197" i="47"/>
  <c r="BI173" i="47"/>
  <c r="BJ70" i="47"/>
  <c r="BL70" i="47" s="1"/>
  <c r="AL70" i="47"/>
  <c r="BG260" i="47"/>
  <c r="AY259" i="47"/>
  <c r="BG259" i="47" s="1"/>
  <c r="BA151" i="47"/>
  <c r="BI152" i="47"/>
  <c r="X58" i="47"/>
  <c r="X41" i="47" s="1"/>
  <c r="AF7" i="47"/>
  <c r="AF284" i="47" s="1"/>
  <c r="BN245" i="47"/>
  <c r="BE194" i="47"/>
  <c r="BI195" i="47"/>
  <c r="BF120" i="47"/>
  <c r="AX119" i="47"/>
  <c r="AI76" i="47"/>
  <c r="AM76" i="47" s="1"/>
  <c r="AM77" i="47"/>
  <c r="AN204" i="47"/>
  <c r="AJ194" i="47"/>
  <c r="AN194" i="47" s="1"/>
  <c r="BL172" i="47"/>
  <c r="AD183" i="47"/>
  <c r="BJ184" i="47"/>
  <c r="BN184" i="47" s="1"/>
  <c r="AK7" i="47"/>
  <c r="AO8" i="47"/>
  <c r="AU269" i="47"/>
  <c r="AD118" i="47"/>
  <c r="BJ118" i="47" s="1"/>
  <c r="BJ121" i="47"/>
  <c r="BC194" i="47"/>
  <c r="AD222" i="47"/>
  <c r="BJ222" i="47" s="1"/>
  <c r="BJ223" i="47"/>
  <c r="BL223" i="47" s="1"/>
  <c r="AZ43" i="47"/>
  <c r="BM85" i="47"/>
  <c r="BN85" i="47" s="1"/>
  <c r="AT85" i="47"/>
  <c r="AP77" i="47"/>
  <c r="BJ233" i="47"/>
  <c r="BN233" i="47" s="1"/>
  <c r="AD232" i="47"/>
  <c r="P7" i="47"/>
  <c r="AL233" i="47"/>
  <c r="BK233" i="47"/>
  <c r="AH232" i="47"/>
  <c r="BF283" i="47"/>
  <c r="AX280" i="47"/>
  <c r="BF225" i="47"/>
  <c r="AX223" i="47"/>
  <c r="BF238" i="47"/>
  <c r="AX236" i="47"/>
  <c r="BA240" i="47"/>
  <c r="BI240" i="47" s="1"/>
  <c r="BI241" i="47"/>
  <c r="AP279" i="47"/>
  <c r="AT280" i="47"/>
  <c r="BM280" i="47"/>
  <c r="BN280" i="47" s="1"/>
  <c r="BI8" i="47"/>
  <c r="BE7" i="47"/>
  <c r="AR194" i="47"/>
  <c r="AV194" i="47" s="1"/>
  <c r="AP150" i="47"/>
  <c r="AT151" i="47"/>
  <c r="BJ273" i="47"/>
  <c r="BN273" i="47" s="1"/>
  <c r="AT273" i="47"/>
  <c r="BK276" i="47"/>
  <c r="BL276" i="47" s="1"/>
  <c r="AL276" i="47"/>
  <c r="AT184" i="47"/>
  <c r="AO222" i="47"/>
  <c r="AX135" i="47"/>
  <c r="BF136" i="47"/>
  <c r="AV248" i="47"/>
  <c r="AH240" i="47"/>
  <c r="AL241" i="47"/>
  <c r="BK241" i="47"/>
  <c r="BL241" i="47" s="1"/>
  <c r="AX177" i="47"/>
  <c r="BF177" i="47" s="1"/>
  <c r="BF178" i="47"/>
  <c r="AR111" i="47"/>
  <c r="AV112" i="47"/>
  <c r="AX213" i="47"/>
  <c r="BF213" i="47" s="1"/>
  <c r="BG136" i="47"/>
  <c r="AY135" i="47"/>
  <c r="BF195" i="47"/>
  <c r="BB194" i="47"/>
  <c r="BN283" i="47"/>
  <c r="AT213" i="47"/>
  <c r="BM213" i="47"/>
  <c r="BN213" i="47" s="1"/>
  <c r="X151" i="47"/>
  <c r="X150" i="47" s="1"/>
  <c r="BL205" i="47"/>
  <c r="BM126" i="47"/>
  <c r="BN126" i="47" s="1"/>
  <c r="AT126" i="47"/>
  <c r="AX38" i="47"/>
  <c r="BF38" i="47" s="1"/>
  <c r="AV172" i="47"/>
  <c r="AR150" i="47"/>
  <c r="AV150" i="47" s="1"/>
  <c r="BD111" i="47"/>
  <c r="BH134" i="47"/>
  <c r="AZ118" i="47"/>
  <c r="BH118" i="47" s="1"/>
  <c r="BN110" i="47"/>
  <c r="BN211" i="47"/>
  <c r="AT8" i="47"/>
  <c r="AP7" i="47"/>
  <c r="BM8" i="47"/>
  <c r="AH183" i="47"/>
  <c r="AL184" i="47"/>
  <c r="BK184" i="47"/>
  <c r="BJ124" i="47"/>
  <c r="BN124" i="47" s="1"/>
  <c r="AT124" i="47"/>
  <c r="AV77" i="47"/>
  <c r="BL250" i="47"/>
  <c r="AT42" i="47"/>
  <c r="AP41" i="47"/>
  <c r="BJ42" i="47"/>
  <c r="BN64" i="47"/>
  <c r="AY8" i="47"/>
  <c r="AY7" i="47" s="1"/>
  <c r="AP58" i="47"/>
  <c r="AZ183" i="47"/>
  <c r="BH183" i="47" s="1"/>
  <c r="BJ38" i="47"/>
  <c r="BN38" i="47" s="1"/>
  <c r="AT38" i="47"/>
  <c r="AX259" i="47"/>
  <c r="BF259" i="47" s="1"/>
  <c r="BF262" i="47"/>
  <c r="BF97" i="47"/>
  <c r="AX96" i="47"/>
  <c r="BF96" i="47" s="1"/>
  <c r="BJ104" i="47"/>
  <c r="AD103" i="47"/>
  <c r="BJ103" i="47" s="1"/>
  <c r="BJ236" i="47"/>
  <c r="AD235" i="47"/>
  <c r="AL236" i="47"/>
  <c r="X8" i="47"/>
  <c r="X7" i="47" s="1"/>
  <c r="P183" i="47"/>
  <c r="P150" i="47" s="1"/>
  <c r="BK104" i="47"/>
  <c r="BL104" i="47" s="1"/>
  <c r="AH103" i="47"/>
  <c r="AL104" i="47"/>
  <c r="AX126" i="47"/>
  <c r="BF126" i="47" s="1"/>
  <c r="AQ195" i="47"/>
  <c r="AU196" i="47"/>
  <c r="AI195" i="47"/>
  <c r="AM196" i="47"/>
  <c r="BL236" i="47"/>
  <c r="BM223" i="47"/>
  <c r="BN223" i="47" s="1"/>
  <c r="AP222" i="47"/>
  <c r="AT223" i="47"/>
  <c r="BC7" i="47"/>
  <c r="AT92" i="47"/>
  <c r="BM92" i="47"/>
  <c r="BN92" i="47" s="1"/>
  <c r="AR42" i="47"/>
  <c r="AV43" i="47"/>
  <c r="AR37" i="47"/>
  <c r="BK196" i="47"/>
  <c r="BL196" i="47" s="1"/>
  <c r="AH195" i="47"/>
  <c r="AL196" i="47"/>
  <c r="AX98" i="47"/>
  <c r="BF98" i="47" s="1"/>
  <c r="BF99" i="47"/>
  <c r="AZ77" i="47"/>
  <c r="AZ76" i="47" s="1"/>
  <c r="AL29" i="47"/>
  <c r="BK29" i="47"/>
  <c r="X249" i="47"/>
  <c r="X248" i="47" s="1"/>
  <c r="BN238" i="47"/>
  <c r="AO204" i="47"/>
  <c r="AK194" i="47"/>
  <c r="AO194" i="47" s="1"/>
  <c r="X111" i="47"/>
  <c r="BH58" i="47"/>
  <c r="BD41" i="47"/>
  <c r="AH7" i="47"/>
  <c r="BK8" i="47"/>
  <c r="AM249" i="47"/>
  <c r="AI248" i="47"/>
  <c r="AM248" i="47" s="1"/>
  <c r="AZ8" i="47"/>
  <c r="BH8" i="47" s="1"/>
  <c r="AI204" i="47"/>
  <c r="AM204" i="47" s="1"/>
  <c r="AM209" i="47"/>
  <c r="BK209" i="47"/>
  <c r="BL209" i="47" s="1"/>
  <c r="AJ41" i="47"/>
  <c r="AN41" i="47" s="1"/>
  <c r="AN42" i="47"/>
  <c r="P194" i="47"/>
  <c r="AX64" i="47"/>
  <c r="BF64" i="47" s="1"/>
  <c r="BF65" i="47"/>
  <c r="BL97" i="47"/>
  <c r="AS111" i="47"/>
  <c r="AM118" i="47"/>
  <c r="BF79" i="47"/>
  <c r="AX78" i="47"/>
  <c r="AL30" i="47"/>
  <c r="BL210" i="47"/>
  <c r="BF245" i="47"/>
  <c r="AX244" i="47"/>
  <c r="BF244" i="47" s="1"/>
  <c r="AL209" i="47"/>
  <c r="BK64" i="47"/>
  <c r="BL64" i="47" s="1"/>
  <c r="AL64" i="47"/>
  <c r="AM42" i="47"/>
  <c r="BL107" i="47"/>
  <c r="AK76" i="47"/>
  <c r="AO76" i="47" s="1"/>
  <c r="AO77" i="47"/>
  <c r="AM8" i="47"/>
  <c r="AI7" i="47"/>
  <c r="AH77" i="47"/>
  <c r="BK78" i="47"/>
  <c r="AL78" i="47"/>
  <c r="BM209" i="47"/>
  <c r="BN209" i="47" s="1"/>
  <c r="AT209" i="47"/>
  <c r="AN222" i="47"/>
  <c r="BM259" i="47"/>
  <c r="BN259" i="47" s="1"/>
  <c r="AT259" i="47"/>
  <c r="AQ162" i="47"/>
  <c r="BM163" i="47"/>
  <c r="BN163" i="47" s="1"/>
  <c r="AU163" i="47"/>
  <c r="AL53" i="47"/>
  <c r="BK53" i="47"/>
  <c r="BL53" i="47" s="1"/>
  <c r="BI269" i="47"/>
  <c r="AL85" i="47"/>
  <c r="BK85" i="47"/>
  <c r="BL85" i="47" s="1"/>
  <c r="BK204" i="47"/>
  <c r="BJ269" i="47"/>
  <c r="AW222" i="47"/>
  <c r="BN210" i="47"/>
  <c r="BF163" i="47"/>
  <c r="AX162" i="47"/>
  <c r="BF162" i="47" s="1"/>
  <c r="AM135" i="47"/>
  <c r="AI134" i="47"/>
  <c r="AM134" i="47" s="1"/>
  <c r="BF125" i="47"/>
  <c r="AX124" i="47"/>
  <c r="BF124" i="47" s="1"/>
  <c r="BF196" i="47"/>
  <c r="BF112" i="47"/>
  <c r="BB111" i="47"/>
  <c r="R41" i="47"/>
  <c r="R284" i="47" s="1"/>
  <c r="AL130" i="47"/>
  <c r="BK130" i="47"/>
  <c r="BL130" i="47" s="1"/>
  <c r="AL270" i="47"/>
  <c r="AH269" i="47"/>
  <c r="BK270" i="47"/>
  <c r="BL270" i="47" s="1"/>
  <c r="BH280" i="47"/>
  <c r="BK259" i="47"/>
  <c r="BL259" i="47" s="1"/>
  <c r="AL259" i="47"/>
  <c r="AP204" i="47"/>
  <c r="BF242" i="47"/>
  <c r="AX241" i="47"/>
  <c r="AL213" i="47"/>
  <c r="BK213" i="47"/>
  <c r="BL213" i="47" s="1"/>
  <c r="BN99" i="47"/>
  <c r="AD204" i="47"/>
  <c r="BJ204" i="47" s="1"/>
  <c r="BJ205" i="47"/>
  <c r="BN205" i="47" s="1"/>
  <c r="AT205" i="47"/>
  <c r="BL191" i="47"/>
  <c r="AX151" i="47"/>
  <c r="BB150" i="47"/>
  <c r="BG240" i="47"/>
  <c r="BL44" i="47"/>
  <c r="BN44" i="47"/>
  <c r="AD8" i="47"/>
  <c r="AL8" i="47" s="1"/>
  <c r="AM223" i="47"/>
  <c r="AI222" i="47"/>
  <c r="AM222" i="47" s="1"/>
  <c r="AP108" i="47"/>
  <c r="AT109" i="47"/>
  <c r="AZ204" i="47"/>
  <c r="AJ7" i="47"/>
  <c r="AN8" i="47"/>
  <c r="BN100" i="47"/>
  <c r="AX204" i="47"/>
  <c r="BF204" i="47" s="1"/>
  <c r="BA222" i="47"/>
  <c r="BI222" i="47" s="1"/>
  <c r="BI223" i="47"/>
  <c r="AN162" i="47"/>
  <c r="AJ150" i="47"/>
  <c r="AN150" i="47" s="1"/>
  <c r="BL31" i="47"/>
  <c r="AI162" i="47"/>
  <c r="AM163" i="47"/>
  <c r="AO29" i="47"/>
  <c r="Q194" i="47"/>
  <c r="X22" i="47"/>
  <c r="X126" i="47"/>
  <c r="X118" i="47" s="1"/>
  <c r="AQ151" i="47"/>
  <c r="BM152" i="47"/>
  <c r="BN152" i="47" s="1"/>
  <c r="AU152" i="47"/>
  <c r="BN53" i="47"/>
  <c r="AH134" i="47"/>
  <c r="BK135" i="47"/>
  <c r="BL135" i="47" s="1"/>
  <c r="AL135" i="47"/>
  <c r="AY209" i="47"/>
  <c r="AT64" i="47"/>
  <c r="AM273" i="47"/>
  <c r="AI269" i="47"/>
  <c r="AM269" i="47" s="1"/>
  <c r="AP269" i="47"/>
  <c r="BJ134" i="47"/>
  <c r="AL134" i="47" l="1"/>
  <c r="BK134" i="47"/>
  <c r="BL134" i="47" s="1"/>
  <c r="BK195" i="47"/>
  <c r="AH194" i="47"/>
  <c r="AL195" i="47"/>
  <c r="P284" i="47"/>
  <c r="BF119" i="47"/>
  <c r="AX118" i="47"/>
  <c r="AX103" i="47"/>
  <c r="BF103" i="47" s="1"/>
  <c r="BF104" i="47"/>
  <c r="AH111" i="47"/>
  <c r="AH284" i="47" s="1"/>
  <c r="BK112" i="47"/>
  <c r="BL112" i="47" s="1"/>
  <c r="AL112" i="47"/>
  <c r="AU162" i="47"/>
  <c r="BM162" i="47"/>
  <c r="BJ232" i="47"/>
  <c r="BN232" i="47" s="1"/>
  <c r="AT232" i="47"/>
  <c r="BB284" i="47"/>
  <c r="BF7" i="47"/>
  <c r="AX77" i="47"/>
  <c r="BF78" i="47"/>
  <c r="AT77" i="47"/>
  <c r="BM77" i="47"/>
  <c r="BN77" i="47" s="1"/>
  <c r="AP76" i="47"/>
  <c r="BL204" i="47"/>
  <c r="BK240" i="47"/>
  <c r="BL240" i="47" s="1"/>
  <c r="AL240" i="47"/>
  <c r="AK284" i="47"/>
  <c r="AO284" i="47" s="1"/>
  <c r="AO7" i="47"/>
  <c r="AQ111" i="47"/>
  <c r="AU111" i="47" s="1"/>
  <c r="BH150" i="47"/>
  <c r="AL204" i="47"/>
  <c r="AT150" i="47"/>
  <c r="BM150" i="47"/>
  <c r="BG121" i="47"/>
  <c r="AY118" i="47"/>
  <c r="AV42" i="47"/>
  <c r="AR41" i="47"/>
  <c r="AV41" i="47" s="1"/>
  <c r="BM58" i="47"/>
  <c r="BN58" i="47" s="1"/>
  <c r="AT58" i="47"/>
  <c r="AZ42" i="47"/>
  <c r="BH43" i="47"/>
  <c r="BN121" i="47"/>
  <c r="AX248" i="47"/>
  <c r="BF248" i="47" s="1"/>
  <c r="BF249" i="47"/>
  <c r="AQ194" i="47"/>
  <c r="AU194" i="47" s="1"/>
  <c r="AU195" i="47"/>
  <c r="BL184" i="47"/>
  <c r="BI151" i="47"/>
  <c r="BA150" i="47"/>
  <c r="BI150" i="47" s="1"/>
  <c r="BG163" i="47"/>
  <c r="AY162" i="47"/>
  <c r="BG162" i="47" s="1"/>
  <c r="BH194" i="47"/>
  <c r="BL59" i="47"/>
  <c r="BK7" i="47"/>
  <c r="AL7" i="47"/>
  <c r="BL38" i="47"/>
  <c r="BK232" i="47"/>
  <c r="AL232" i="47"/>
  <c r="AL118" i="47"/>
  <c r="BK118" i="47"/>
  <c r="BL118" i="47" s="1"/>
  <c r="AL222" i="47"/>
  <c r="AT118" i="47"/>
  <c r="AI111" i="47"/>
  <c r="AM111" i="47" s="1"/>
  <c r="AM7" i="47"/>
  <c r="AP284" i="47"/>
  <c r="AT7" i="47"/>
  <c r="BM279" i="47"/>
  <c r="AT279" i="47"/>
  <c r="BM222" i="47"/>
  <c r="BN222" i="47" s="1"/>
  <c r="AT222" i="47"/>
  <c r="X284" i="47"/>
  <c r="BA111" i="47"/>
  <c r="BI111" i="47" s="1"/>
  <c r="BJ162" i="47"/>
  <c r="AE150" i="47"/>
  <c r="AE284" i="47" s="1"/>
  <c r="AT235" i="47"/>
  <c r="BM235" i="47"/>
  <c r="AQ150" i="47"/>
  <c r="AU151" i="47"/>
  <c r="BF241" i="47"/>
  <c r="AX240" i="47"/>
  <c r="BF240" i="47" s="1"/>
  <c r="BJ235" i="47"/>
  <c r="BL235" i="47" s="1"/>
  <c r="AL235" i="47"/>
  <c r="BN70" i="47"/>
  <c r="AM195" i="47"/>
  <c r="AI194" i="47"/>
  <c r="AM194" i="47" s="1"/>
  <c r="BG273" i="47"/>
  <c r="AY269" i="47"/>
  <c r="BG269" i="47" s="1"/>
  <c r="BD284" i="47"/>
  <c r="AY222" i="47"/>
  <c r="BG222" i="47" s="1"/>
  <c r="BG223" i="47"/>
  <c r="BM204" i="47"/>
  <c r="BN204" i="47" s="1"/>
  <c r="AT204" i="47"/>
  <c r="BL29" i="47"/>
  <c r="AX42" i="47"/>
  <c r="BH111" i="47"/>
  <c r="BM151" i="47"/>
  <c r="BN151" i="47" s="1"/>
  <c r="AT103" i="47"/>
  <c r="BM103" i="47"/>
  <c r="BN103" i="47" s="1"/>
  <c r="AJ284" i="47"/>
  <c r="AN284" i="47" s="1"/>
  <c r="AN7" i="47"/>
  <c r="AI41" i="47"/>
  <c r="AM41" i="47" s="1"/>
  <c r="AX279" i="47"/>
  <c r="BF279" i="47" s="1"/>
  <c r="BF280" i="47"/>
  <c r="BG209" i="47"/>
  <c r="AY204" i="47"/>
  <c r="BG204" i="47" s="1"/>
  <c r="AX150" i="47"/>
  <c r="BF150" i="47" s="1"/>
  <c r="BF151" i="47"/>
  <c r="BE284" i="47"/>
  <c r="AZ111" i="47"/>
  <c r="BK222" i="47"/>
  <c r="BL222" i="47" s="1"/>
  <c r="BL22" i="47"/>
  <c r="BM118" i="47"/>
  <c r="BN118" i="47" s="1"/>
  <c r="AM162" i="47"/>
  <c r="BK162" i="47"/>
  <c r="AI150" i="47"/>
  <c r="AT108" i="47"/>
  <c r="BL78" i="47"/>
  <c r="BC284" i="47"/>
  <c r="BG7" i="47"/>
  <c r="AD41" i="47"/>
  <c r="BJ41" i="47" s="1"/>
  <c r="AL183" i="47"/>
  <c r="BK183" i="47"/>
  <c r="AH150" i="47"/>
  <c r="BL233" i="47"/>
  <c r="BL121" i="47"/>
  <c r="AX108" i="47"/>
  <c r="BF108" i="47" s="1"/>
  <c r="BF109" i="47"/>
  <c r="AD111" i="47"/>
  <c r="BJ111" i="47" s="1"/>
  <c r="AT134" i="47"/>
  <c r="BM134" i="47"/>
  <c r="BN134" i="47" s="1"/>
  <c r="BJ29" i="47"/>
  <c r="AT29" i="47"/>
  <c r="BK248" i="47"/>
  <c r="BL248" i="47" s="1"/>
  <c r="AL248" i="47"/>
  <c r="AY58" i="47"/>
  <c r="BG64" i="47"/>
  <c r="AD194" i="47"/>
  <c r="BJ194" i="47" s="1"/>
  <c r="BJ195" i="47"/>
  <c r="AY151" i="47"/>
  <c r="BG152" i="47"/>
  <c r="AY248" i="47"/>
  <c r="BG248" i="47" s="1"/>
  <c r="BG249" i="47"/>
  <c r="BL124" i="47"/>
  <c r="AT41" i="47"/>
  <c r="BJ77" i="47"/>
  <c r="AD76" i="47"/>
  <c r="BJ76" i="47" s="1"/>
  <c r="BJ8" i="47"/>
  <c r="BL8" i="47" s="1"/>
  <c r="AD7" i="47"/>
  <c r="BH269" i="47"/>
  <c r="AX269" i="47"/>
  <c r="BF269" i="47" s="1"/>
  <c r="BF270" i="47"/>
  <c r="AX235" i="47"/>
  <c r="BF235" i="47" s="1"/>
  <c r="BF236" i="47"/>
  <c r="AY195" i="47"/>
  <c r="BG196" i="47"/>
  <c r="AT248" i="47"/>
  <c r="BM248" i="47"/>
  <c r="BN248" i="47" s="1"/>
  <c r="BM269" i="47"/>
  <c r="BN269" i="47" s="1"/>
  <c r="AT269" i="47"/>
  <c r="AZ37" i="47"/>
  <c r="BH37" i="47" s="1"/>
  <c r="AV37" i="47"/>
  <c r="AR36" i="47"/>
  <c r="AW49" i="47"/>
  <c r="BA49" i="47"/>
  <c r="BI49" i="47" s="1"/>
  <c r="AS48" i="47"/>
  <c r="BM49" i="47"/>
  <c r="BN49" i="47" s="1"/>
  <c r="BF223" i="47"/>
  <c r="AX222" i="47"/>
  <c r="BM195" i="47"/>
  <c r="BN195" i="47" s="1"/>
  <c r="AP194" i="47"/>
  <c r="AT195" i="47"/>
  <c r="BJ183" i="47"/>
  <c r="BN183" i="47" s="1"/>
  <c r="AT183" i="47"/>
  <c r="AW111" i="47"/>
  <c r="AS109" i="47"/>
  <c r="AY134" i="47"/>
  <c r="BG134" i="47" s="1"/>
  <c r="BG135" i="47"/>
  <c r="BK58" i="47"/>
  <c r="BL58" i="47" s="1"/>
  <c r="AL58" i="47"/>
  <c r="BF135" i="47"/>
  <c r="AX134" i="47"/>
  <c r="BF134" i="47" s="1"/>
  <c r="AL269" i="47"/>
  <c r="BK269" i="47"/>
  <c r="BL269" i="47" s="1"/>
  <c r="AH76" i="47"/>
  <c r="BK77" i="47"/>
  <c r="AL77" i="47"/>
  <c r="BG8" i="47"/>
  <c r="BK103" i="47"/>
  <c r="BL103" i="47" s="1"/>
  <c r="AL103" i="47"/>
  <c r="AZ150" i="47"/>
  <c r="AV111" i="47"/>
  <c r="AR109" i="47"/>
  <c r="BL273" i="47"/>
  <c r="AL279" i="47"/>
  <c r="BJ279" i="47"/>
  <c r="BL279" i="47" s="1"/>
  <c r="AH41" i="47"/>
  <c r="BK42" i="47"/>
  <c r="BL42" i="47" s="1"/>
  <c r="AL42" i="47"/>
  <c r="BA194" i="47"/>
  <c r="BI194" i="47" s="1"/>
  <c r="AM150" i="47" l="1"/>
  <c r="AI284" i="47"/>
  <c r="AM284" i="47" s="1"/>
  <c r="BK150" i="47"/>
  <c r="AL150" i="47"/>
  <c r="BM194" i="47"/>
  <c r="BN194" i="47" s="1"/>
  <c r="AT194" i="47"/>
  <c r="BM111" i="47"/>
  <c r="BN111" i="47" s="1"/>
  <c r="AL194" i="47"/>
  <c r="BK194" i="47"/>
  <c r="BL194" i="47" s="1"/>
  <c r="BN8" i="47"/>
  <c r="AQ284" i="47"/>
  <c r="AU284" i="47" s="1"/>
  <c r="AY150" i="47"/>
  <c r="BG150" i="47" s="1"/>
  <c r="BG151" i="47"/>
  <c r="AT111" i="47"/>
  <c r="BN162" i="47"/>
  <c r="BL195" i="47"/>
  <c r="AL111" i="47"/>
  <c r="BK111" i="47"/>
  <c r="BL111" i="47" s="1"/>
  <c r="BL162" i="47"/>
  <c r="AX76" i="47"/>
  <c r="BF76" i="47" s="1"/>
  <c r="BF77" i="47"/>
  <c r="BF118" i="47"/>
  <c r="AX111" i="47"/>
  <c r="BF111" i="47" s="1"/>
  <c r="BK76" i="47"/>
  <c r="BL76" i="47" s="1"/>
  <c r="AL76" i="47"/>
  <c r="AU150" i="47"/>
  <c r="BN279" i="47"/>
  <c r="BL232" i="47"/>
  <c r="AY111" i="47"/>
  <c r="BG111" i="47" s="1"/>
  <c r="BG118" i="47"/>
  <c r="BG58" i="47"/>
  <c r="AY41" i="47"/>
  <c r="AS108" i="47"/>
  <c r="AW109" i="47"/>
  <c r="BK41" i="47"/>
  <c r="BL41" i="47" s="1"/>
  <c r="AL41" i="47"/>
  <c r="AW48" i="47"/>
  <c r="AS43" i="47"/>
  <c r="BA48" i="47"/>
  <c r="BM48" i="47"/>
  <c r="BN48" i="47" s="1"/>
  <c r="AX41" i="47"/>
  <c r="BF42" i="47"/>
  <c r="BL77" i="47"/>
  <c r="AY194" i="47"/>
  <c r="BG194" i="47" s="1"/>
  <c r="BG195" i="47"/>
  <c r="AZ41" i="47"/>
  <c r="BH41" i="47" s="1"/>
  <c r="BH42" i="47"/>
  <c r="BJ150" i="47"/>
  <c r="BN150" i="47" s="1"/>
  <c r="AZ36" i="47"/>
  <c r="AR32" i="47"/>
  <c r="AV36" i="47"/>
  <c r="BL183" i="47"/>
  <c r="AV109" i="47"/>
  <c r="AR108" i="47"/>
  <c r="BM109" i="47"/>
  <c r="BN109" i="47" s="1"/>
  <c r="BF222" i="47"/>
  <c r="AX194" i="47"/>
  <c r="BF194" i="47" s="1"/>
  <c r="AD284" i="47"/>
  <c r="BJ284" i="47" s="1"/>
  <c r="BJ7" i="47"/>
  <c r="BL7" i="47" s="1"/>
  <c r="BN235" i="47"/>
  <c r="AT76" i="47"/>
  <c r="AR29" i="47" l="1"/>
  <c r="AV32" i="47"/>
  <c r="BL150" i="47"/>
  <c r="BH36" i="47"/>
  <c r="AZ32" i="47"/>
  <c r="AV108" i="47"/>
  <c r="AR76" i="47"/>
  <c r="BM108" i="47"/>
  <c r="BN108" i="47" s="1"/>
  <c r="BF41" i="47"/>
  <c r="AX284" i="47"/>
  <c r="BF284" i="47" s="1"/>
  <c r="BG41" i="47"/>
  <c r="AY284" i="47"/>
  <c r="BG284" i="47" s="1"/>
  <c r="AS42" i="47"/>
  <c r="AW43" i="47"/>
  <c r="AS37" i="47"/>
  <c r="BM43" i="47"/>
  <c r="BN43" i="47" s="1"/>
  <c r="AW108" i="47"/>
  <c r="AS76" i="47"/>
  <c r="AW76" i="47" s="1"/>
  <c r="AT284" i="47"/>
  <c r="AL284" i="47"/>
  <c r="BI48" i="47"/>
  <c r="BA43" i="47"/>
  <c r="BK284" i="47"/>
  <c r="BL284" i="47" s="1"/>
  <c r="BA42" i="47" l="1"/>
  <c r="BI43" i="47"/>
  <c r="AV76" i="47"/>
  <c r="BM76" i="47"/>
  <c r="BN76" i="47" s="1"/>
  <c r="BH32" i="47"/>
  <c r="AZ29" i="47"/>
  <c r="BA37" i="47"/>
  <c r="BI37" i="47" s="1"/>
  <c r="AW37" i="47"/>
  <c r="AS36" i="47"/>
  <c r="BM37" i="47"/>
  <c r="BN37" i="47" s="1"/>
  <c r="AW42" i="47"/>
  <c r="AS41" i="47"/>
  <c r="BM42" i="47"/>
  <c r="BN42" i="47" s="1"/>
  <c r="AV29" i="47"/>
  <c r="AR7" i="47"/>
  <c r="AW41" i="47" l="1"/>
  <c r="BM41" i="47"/>
  <c r="BN41" i="47" s="1"/>
  <c r="BA36" i="47"/>
  <c r="AS32" i="47"/>
  <c r="AW36" i="47"/>
  <c r="BM36" i="47"/>
  <c r="BN36" i="47" s="1"/>
  <c r="BH29" i="47"/>
  <c r="AZ7" i="47"/>
  <c r="AV7" i="47"/>
  <c r="AR284" i="47"/>
  <c r="BA41" i="47"/>
  <c r="BI41" i="47" s="1"/>
  <c r="BI42" i="47"/>
  <c r="AV284" i="47" l="1"/>
  <c r="AZ284" i="47"/>
  <c r="BH284" i="47" s="1"/>
  <c r="BH7" i="47"/>
  <c r="AW32" i="47"/>
  <c r="AS29" i="47"/>
  <c r="BM32" i="47"/>
  <c r="BN32" i="47" s="1"/>
  <c r="BI36" i="47"/>
  <c r="BA32" i="47"/>
  <c r="BI32" i="47" l="1"/>
  <c r="BA29" i="47"/>
  <c r="AW29" i="47"/>
  <c r="AS7" i="47"/>
  <c r="BM29" i="47"/>
  <c r="BN29" i="47" s="1"/>
  <c r="BI29" i="47" l="1"/>
  <c r="BA7" i="47"/>
  <c r="AW7" i="47"/>
  <c r="AS284" i="47"/>
  <c r="BM7" i="47"/>
  <c r="BN7" i="47" s="1"/>
  <c r="AW284" i="47" l="1"/>
  <c r="BM284" i="47"/>
  <c r="BN284" i="47" s="1"/>
  <c r="BA284" i="47"/>
  <c r="BI284" i="47" s="1"/>
  <c r="BI7" i="47"/>
  <c r="E81" i="27" l="1"/>
  <c r="E23" i="10" l="1"/>
  <c r="E19" i="10"/>
  <c r="N34" i="12"/>
  <c r="D8" i="12" s="1"/>
  <c r="N32" i="12"/>
  <c r="N29" i="12"/>
  <c r="N27" i="12"/>
  <c r="N26" i="12"/>
  <c r="D6" i="19"/>
  <c r="K25" i="22"/>
  <c r="K26" i="22"/>
  <c r="K24" i="22"/>
  <c r="J25" i="22"/>
  <c r="J26" i="22"/>
  <c r="I25" i="22"/>
  <c r="I26" i="22"/>
  <c r="I24" i="22"/>
  <c r="J24" i="22"/>
  <c r="H25" i="22"/>
  <c r="H26" i="22"/>
  <c r="H24" i="22"/>
  <c r="K46" i="21"/>
  <c r="K47" i="21"/>
  <c r="K48" i="21"/>
  <c r="K49" i="21"/>
  <c r="K50" i="21"/>
  <c r="K51" i="21"/>
  <c r="K52" i="21"/>
  <c r="K53" i="21"/>
  <c r="K54" i="21"/>
  <c r="J53" i="21"/>
  <c r="J54" i="21"/>
  <c r="J52" i="21"/>
  <c r="J48" i="21"/>
  <c r="J49" i="21"/>
  <c r="J50" i="21"/>
  <c r="J51" i="21"/>
  <c r="K45" i="21"/>
  <c r="J45" i="21"/>
  <c r="K43" i="21"/>
  <c r="J43" i="21"/>
  <c r="Q21" i="14"/>
  <c r="I27" i="21"/>
  <c r="D8" i="1"/>
  <c r="F30" i="16"/>
  <c r="H36" i="21"/>
  <c r="F10" i="6" l="1"/>
  <c r="E72" i="29" l="1"/>
  <c r="E34" i="22"/>
  <c r="G34" i="22"/>
  <c r="F34" i="22"/>
  <c r="G33" i="22"/>
  <c r="F33" i="22"/>
  <c r="I25" i="17"/>
  <c r="G19" i="13"/>
  <c r="P21" i="25"/>
  <c r="O21" i="25"/>
  <c r="N21" i="25"/>
  <c r="M21" i="25"/>
  <c r="I19" i="23"/>
  <c r="I20" i="23"/>
  <c r="E21" i="23"/>
  <c r="F21" i="23"/>
  <c r="G21" i="23"/>
  <c r="H21" i="23"/>
  <c r="I26" i="23"/>
  <c r="I27" i="23"/>
  <c r="I28" i="23" s="1"/>
  <c r="E28" i="23"/>
  <c r="F28" i="23"/>
  <c r="G28" i="23"/>
  <c r="H28" i="23"/>
  <c r="I31" i="21"/>
  <c r="I32" i="21"/>
  <c r="I33" i="21"/>
  <c r="I34" i="21"/>
  <c r="I21" i="23" l="1"/>
  <c r="Q21" i="25"/>
  <c r="E33" i="22" l="1"/>
  <c r="E4" i="28" l="1"/>
  <c r="E4" i="27"/>
  <c r="E4" i="25"/>
  <c r="E4" i="24"/>
  <c r="E4" i="23"/>
  <c r="E4" i="5"/>
  <c r="E4" i="1"/>
  <c r="D4" i="19" l="1"/>
  <c r="F36" i="20" l="1"/>
  <c r="E25" i="27"/>
  <c r="H65" i="27"/>
  <c r="H82" i="10" l="1"/>
  <c r="G45" i="10"/>
  <c r="H23" i="2" l="1"/>
  <c r="I23" i="2"/>
  <c r="F10" i="12" l="1"/>
  <c r="I24" i="21" l="1"/>
  <c r="I25" i="21"/>
  <c r="I26" i="21"/>
  <c r="I28" i="21"/>
  <c r="I29" i="21"/>
  <c r="I30" i="21"/>
  <c r="I35" i="21"/>
  <c r="I23" i="21"/>
  <c r="D16" i="19"/>
  <c r="E16" i="19"/>
  <c r="F16" i="19"/>
  <c r="F83" i="10"/>
  <c r="G83" i="10"/>
  <c r="H83" i="10"/>
  <c r="F82" i="10"/>
  <c r="G82" i="10"/>
  <c r="E82" i="10"/>
  <c r="I82" i="10" s="1"/>
  <c r="H22" i="16"/>
  <c r="J56" i="1"/>
  <c r="I36" i="21" l="1"/>
  <c r="D8" i="21" s="1"/>
  <c r="I75" i="24"/>
  <c r="I76" i="24"/>
  <c r="I77" i="24" s="1"/>
  <c r="E77" i="24"/>
  <c r="F77" i="24"/>
  <c r="G77" i="24"/>
  <c r="H77" i="24"/>
  <c r="F27" i="28" l="1"/>
  <c r="E27" i="28"/>
  <c r="G21" i="28"/>
  <c r="F21" i="28"/>
  <c r="E21" i="28"/>
  <c r="D12" i="28"/>
  <c r="D11" i="28"/>
  <c r="F10" i="28"/>
  <c r="G69" i="27"/>
  <c r="G68" i="27"/>
  <c r="F68" i="27"/>
  <c r="F69" i="27" s="1"/>
  <c r="E68" i="27"/>
  <c r="E69" i="27" s="1"/>
  <c r="H70" i="27" s="1"/>
  <c r="E74" i="27" s="1"/>
  <c r="H67" i="27"/>
  <c r="H66" i="27"/>
  <c r="E60" i="27"/>
  <c r="L59" i="27"/>
  <c r="L60" i="27" s="1"/>
  <c r="K59" i="27"/>
  <c r="K60" i="27" s="1"/>
  <c r="J59" i="27"/>
  <c r="J60" i="27" s="1"/>
  <c r="I59" i="27"/>
  <c r="I60" i="27" s="1"/>
  <c r="H59" i="27"/>
  <c r="H60" i="27" s="1"/>
  <c r="G59" i="27"/>
  <c r="G60" i="27" s="1"/>
  <c r="F59" i="27"/>
  <c r="F60" i="27" s="1"/>
  <c r="E59" i="27"/>
  <c r="G46" i="27"/>
  <c r="G47" i="27" s="1"/>
  <c r="F46" i="27"/>
  <c r="F47" i="27" s="1"/>
  <c r="E46" i="27"/>
  <c r="E47" i="27" s="1"/>
  <c r="H45" i="27"/>
  <c r="H44" i="27"/>
  <c r="H43" i="27"/>
  <c r="L37" i="27"/>
  <c r="L38" i="27" s="1"/>
  <c r="K37" i="27"/>
  <c r="K38" i="27" s="1"/>
  <c r="J37" i="27"/>
  <c r="J38" i="27" s="1"/>
  <c r="I37" i="27"/>
  <c r="I38" i="27" s="1"/>
  <c r="H37" i="27"/>
  <c r="H38" i="27" s="1"/>
  <c r="G37" i="27"/>
  <c r="G38" i="27" s="1"/>
  <c r="F37" i="27"/>
  <c r="F38" i="27" s="1"/>
  <c r="E37" i="27"/>
  <c r="E38" i="27" s="1"/>
  <c r="E79" i="27"/>
  <c r="J20" i="27"/>
  <c r="I20" i="27"/>
  <c r="D12" i="27"/>
  <c r="D11" i="27"/>
  <c r="H21" i="25"/>
  <c r="G21" i="25"/>
  <c r="F21" i="25"/>
  <c r="D8" i="25" s="1"/>
  <c r="C28" i="19" s="1"/>
  <c r="I20" i="25"/>
  <c r="I19" i="25"/>
  <c r="E21" i="25"/>
  <c r="D12" i="25"/>
  <c r="D11" i="25"/>
  <c r="F10" i="25"/>
  <c r="D115" i="24"/>
  <c r="D114" i="24"/>
  <c r="D113" i="24"/>
  <c r="D112" i="24"/>
  <c r="D111" i="24"/>
  <c r="H108" i="24"/>
  <c r="G108" i="24"/>
  <c r="F108" i="24"/>
  <c r="E115" i="24" s="1"/>
  <c r="E108" i="24"/>
  <c r="I107" i="24"/>
  <c r="I106" i="24"/>
  <c r="H95" i="24"/>
  <c r="G95" i="24"/>
  <c r="F95" i="24"/>
  <c r="E95" i="24"/>
  <c r="I94" i="24"/>
  <c r="I93" i="24"/>
  <c r="H88" i="24"/>
  <c r="G88" i="24"/>
  <c r="F88" i="24"/>
  <c r="E114" i="24" s="1"/>
  <c r="E88" i="24"/>
  <c r="I87" i="24"/>
  <c r="I86" i="24"/>
  <c r="H70" i="24"/>
  <c r="G70" i="24"/>
  <c r="F70" i="24"/>
  <c r="E113" i="24" s="1"/>
  <c r="E70" i="24"/>
  <c r="I69" i="24"/>
  <c r="I68" i="24"/>
  <c r="H56" i="24"/>
  <c r="G56" i="24"/>
  <c r="F56" i="24"/>
  <c r="E56" i="24"/>
  <c r="I55" i="24"/>
  <c r="I54" i="24"/>
  <c r="H49" i="24"/>
  <c r="G49" i="24"/>
  <c r="F49" i="24"/>
  <c r="E112" i="24" s="1"/>
  <c r="E49" i="24"/>
  <c r="I48" i="24"/>
  <c r="I47" i="24"/>
  <c r="H36" i="24"/>
  <c r="G36" i="24"/>
  <c r="F36" i="24"/>
  <c r="E36" i="24"/>
  <c r="H24" i="24"/>
  <c r="G24" i="24"/>
  <c r="F24" i="24"/>
  <c r="E111" i="24" s="1"/>
  <c r="E24" i="24"/>
  <c r="I23" i="24"/>
  <c r="I22" i="24"/>
  <c r="D12" i="24"/>
  <c r="D11" i="24"/>
  <c r="F10" i="24"/>
  <c r="D56" i="23"/>
  <c r="D55" i="23"/>
  <c r="D54" i="23"/>
  <c r="D53" i="23"/>
  <c r="D52" i="23"/>
  <c r="H49" i="23"/>
  <c r="G49" i="23"/>
  <c r="F49" i="23"/>
  <c r="I48" i="23"/>
  <c r="I47" i="23"/>
  <c r="H42" i="23"/>
  <c r="G42" i="23"/>
  <c r="F42" i="23"/>
  <c r="I41" i="23"/>
  <c r="I40" i="23"/>
  <c r="H35" i="23"/>
  <c r="G35" i="23"/>
  <c r="F35" i="23"/>
  <c r="I34" i="23"/>
  <c r="E35" i="23"/>
  <c r="E54" i="23" s="1"/>
  <c r="E52" i="23"/>
  <c r="D12" i="23"/>
  <c r="D11" i="23"/>
  <c r="F10" i="23"/>
  <c r="H22" i="5"/>
  <c r="G22" i="5"/>
  <c r="E10" i="19" s="1"/>
  <c r="F22" i="5"/>
  <c r="E22" i="5"/>
  <c r="C10" i="19" s="1"/>
  <c r="D12" i="5"/>
  <c r="D11" i="5"/>
  <c r="F10" i="5"/>
  <c r="G111" i="24" l="1"/>
  <c r="I95" i="24"/>
  <c r="I56" i="24"/>
  <c r="I108" i="24"/>
  <c r="D10" i="19"/>
  <c r="D8" i="5"/>
  <c r="I88" i="24"/>
  <c r="I49" i="24"/>
  <c r="I24" i="24"/>
  <c r="I42" i="23"/>
  <c r="G54" i="23"/>
  <c r="F57" i="23"/>
  <c r="F10" i="19"/>
  <c r="E30" i="28"/>
  <c r="D8" i="28" s="1"/>
  <c r="C31" i="19" s="1"/>
  <c r="I49" i="23"/>
  <c r="G115" i="24"/>
  <c r="G114" i="24"/>
  <c r="I70" i="24"/>
  <c r="G113" i="24"/>
  <c r="G112" i="24"/>
  <c r="H47" i="27"/>
  <c r="H48" i="27" s="1"/>
  <c r="E73" i="27" s="1"/>
  <c r="I18" i="25"/>
  <c r="I21" i="25" s="1"/>
  <c r="G52" i="23"/>
  <c r="E49" i="23"/>
  <c r="E56" i="23" s="1"/>
  <c r="G56" i="23" s="1"/>
  <c r="E53" i="23"/>
  <c r="G53" i="23" s="1"/>
  <c r="E42" i="23"/>
  <c r="E55" i="23" s="1"/>
  <c r="G55" i="23" s="1"/>
  <c r="I33" i="23"/>
  <c r="I35" i="23" s="1"/>
  <c r="E75" i="27" l="1"/>
  <c r="E80" i="27" s="1"/>
  <c r="G116" i="24"/>
  <c r="D8" i="24" s="1"/>
  <c r="C27" i="19" s="1"/>
  <c r="E57" i="23"/>
  <c r="G57" i="23"/>
  <c r="D8" i="23" s="1"/>
  <c r="C26" i="19" s="1"/>
  <c r="F35" i="22" l="1"/>
  <c r="F36" i="22" s="1"/>
  <c r="Q32" i="19" l="1"/>
  <c r="Q31" i="19"/>
  <c r="Q30" i="19"/>
  <c r="Q29" i="19"/>
  <c r="Q28" i="19"/>
  <c r="Q27" i="19"/>
  <c r="Q26" i="19"/>
  <c r="Q25" i="19"/>
  <c r="Q24" i="19"/>
  <c r="Q23" i="19"/>
  <c r="Q22" i="19"/>
  <c r="Q21" i="19"/>
  <c r="Q20" i="19"/>
  <c r="Q19" i="19"/>
  <c r="Q18" i="19"/>
  <c r="Q17" i="19"/>
  <c r="Q16" i="19"/>
  <c r="Q15" i="19"/>
  <c r="Q14" i="19"/>
  <c r="Q13" i="19"/>
  <c r="Q12" i="19"/>
  <c r="Q11" i="19"/>
  <c r="Q10" i="19"/>
  <c r="Q9" i="19"/>
  <c r="Q8" i="19"/>
  <c r="Q7" i="19"/>
  <c r="Q6" i="19"/>
  <c r="F54" i="29"/>
  <c r="I23" i="17"/>
  <c r="I24" i="17"/>
  <c r="D72" i="29" l="1"/>
  <c r="G69" i="29" l="1"/>
  <c r="G70" i="29"/>
  <c r="G71" i="29"/>
  <c r="G52" i="29"/>
  <c r="G53" i="29"/>
  <c r="G54" i="29"/>
  <c r="G55" i="29"/>
  <c r="G56" i="29"/>
  <c r="G57" i="29"/>
  <c r="G58" i="29"/>
  <c r="G59" i="29"/>
  <c r="G60" i="29"/>
  <c r="G61" i="29"/>
  <c r="G62" i="29"/>
  <c r="G64" i="29"/>
  <c r="G65" i="29"/>
  <c r="G66" i="29"/>
  <c r="G67" i="29"/>
  <c r="G68" i="29"/>
  <c r="F71" i="29"/>
  <c r="F52" i="29"/>
  <c r="F55" i="29"/>
  <c r="F56" i="29"/>
  <c r="F57" i="29"/>
  <c r="F58" i="29"/>
  <c r="F59" i="29"/>
  <c r="F60" i="29"/>
  <c r="F61" i="29"/>
  <c r="F62" i="29"/>
  <c r="F64" i="29"/>
  <c r="F65" i="29"/>
  <c r="F66" i="29"/>
  <c r="F67" i="29"/>
  <c r="F68" i="29"/>
  <c r="F69" i="29"/>
  <c r="F70" i="29"/>
  <c r="J45" i="29" l="1"/>
  <c r="H45" i="29"/>
  <c r="I19" i="29"/>
  <c r="K30" i="13" l="1"/>
  <c r="H30" i="13"/>
  <c r="I30" i="13"/>
  <c r="J30" i="13"/>
  <c r="E4" i="29" l="1"/>
  <c r="E4" i="26"/>
  <c r="A2" i="26"/>
  <c r="A2" i="22"/>
  <c r="E4" i="22"/>
  <c r="A2" i="1" l="1"/>
  <c r="A2" i="2"/>
  <c r="A2" i="3"/>
  <c r="A2" i="4"/>
  <c r="A2" i="6"/>
  <c r="A2" i="8"/>
  <c r="A2" i="9"/>
  <c r="A2" i="10"/>
  <c r="A2" i="11"/>
  <c r="A2" i="12"/>
  <c r="A2" i="13"/>
  <c r="A2" i="14"/>
  <c r="A2" i="15"/>
  <c r="A2" i="16"/>
  <c r="A2" i="17"/>
  <c r="A2" i="18"/>
  <c r="A2" i="20"/>
  <c r="A2" i="21"/>
  <c r="E4" i="21"/>
  <c r="E4" i="20" l="1"/>
  <c r="E4" i="18"/>
  <c r="E4" i="17"/>
  <c r="H20" i="19"/>
  <c r="E4" i="16"/>
  <c r="E4" i="15"/>
  <c r="E4" i="14"/>
  <c r="E4" i="13" l="1"/>
  <c r="H13" i="19"/>
  <c r="H14" i="19"/>
  <c r="H15" i="19"/>
  <c r="H16" i="19"/>
  <c r="E4" i="12"/>
  <c r="E4" i="11"/>
  <c r="E4" i="10"/>
  <c r="E4" i="9"/>
  <c r="E4" i="6"/>
  <c r="E4" i="8"/>
  <c r="E4" i="4"/>
  <c r="E4" i="3"/>
  <c r="I9" i="19"/>
  <c r="H9" i="19"/>
  <c r="E4" i="2"/>
  <c r="H6" i="19" l="1"/>
  <c r="A2" i="19"/>
  <c r="K7" i="36" l="1"/>
  <c r="F10" i="16" l="1"/>
  <c r="E35" i="22" l="1"/>
  <c r="E36" i="22" s="1"/>
  <c r="D11" i="22"/>
  <c r="J11" i="19"/>
  <c r="M11" i="19" s="1"/>
  <c r="J10" i="19"/>
  <c r="M10" i="19" s="1"/>
  <c r="J9" i="19"/>
  <c r="M9" i="19" s="1"/>
  <c r="J8" i="19"/>
  <c r="M8" i="19" s="1"/>
  <c r="J7" i="19"/>
  <c r="M7" i="19" s="1"/>
  <c r="J6" i="19"/>
  <c r="M6" i="19" s="1"/>
  <c r="P6" i="19" s="1"/>
  <c r="J32" i="19"/>
  <c r="M32" i="19" s="1"/>
  <c r="P32" i="19" s="1"/>
  <c r="J31" i="19"/>
  <c r="M31" i="19" s="1"/>
  <c r="J30" i="19"/>
  <c r="M30" i="19" s="1"/>
  <c r="J29" i="19"/>
  <c r="M29" i="19" s="1"/>
  <c r="J28" i="19"/>
  <c r="M28" i="19" s="1"/>
  <c r="J27" i="19"/>
  <c r="M27" i="19" s="1"/>
  <c r="J26" i="19"/>
  <c r="M26" i="19" s="1"/>
  <c r="J25" i="19"/>
  <c r="M25" i="19" s="1"/>
  <c r="J24" i="19"/>
  <c r="M24" i="19" s="1"/>
  <c r="J23" i="19"/>
  <c r="M23" i="19" s="1"/>
  <c r="J22" i="19"/>
  <c r="M22" i="19" s="1"/>
  <c r="J21" i="19"/>
  <c r="M21" i="19" s="1"/>
  <c r="J20" i="19"/>
  <c r="M20" i="19" s="1"/>
  <c r="J19" i="19"/>
  <c r="M19" i="19" s="1"/>
  <c r="J18" i="19"/>
  <c r="M18" i="19" s="1"/>
  <c r="J17" i="19"/>
  <c r="M17" i="19" s="1"/>
  <c r="J16" i="19"/>
  <c r="M16" i="19" s="1"/>
  <c r="J15" i="19"/>
  <c r="M15" i="19" s="1"/>
  <c r="J14" i="19"/>
  <c r="M14" i="19" s="1"/>
  <c r="J13" i="19"/>
  <c r="M13" i="19" s="1"/>
  <c r="J12" i="19"/>
  <c r="M12" i="19" s="1"/>
  <c r="I32" i="19"/>
  <c r="I31" i="19"/>
  <c r="I30" i="19"/>
  <c r="I29" i="19"/>
  <c r="I28" i="19"/>
  <c r="I27" i="19"/>
  <c r="I26" i="19"/>
  <c r="I25" i="19"/>
  <c r="I24" i="19"/>
  <c r="I23" i="19"/>
  <c r="I22" i="19"/>
  <c r="I21" i="19"/>
  <c r="I20" i="19"/>
  <c r="I19" i="19"/>
  <c r="I18" i="19"/>
  <c r="I17" i="19"/>
  <c r="I16" i="19"/>
  <c r="I15" i="19"/>
  <c r="I14" i="19"/>
  <c r="I13" i="19"/>
  <c r="I12" i="19"/>
  <c r="I11" i="19"/>
  <c r="I10" i="19"/>
  <c r="L9" i="19"/>
  <c r="O9" i="19" s="1"/>
  <c r="I8" i="19"/>
  <c r="I7" i="19"/>
  <c r="D12" i="3"/>
  <c r="D11" i="3"/>
  <c r="F10" i="3"/>
  <c r="H8" i="19" s="1"/>
  <c r="D12" i="4"/>
  <c r="D11" i="4"/>
  <c r="F10" i="4"/>
  <c r="H10" i="19"/>
  <c r="D12" i="6"/>
  <c r="D11" i="6"/>
  <c r="H11" i="19"/>
  <c r="D12" i="8"/>
  <c r="D11" i="8"/>
  <c r="F10" i="8"/>
  <c r="H12" i="19" s="1"/>
  <c r="D12" i="9"/>
  <c r="D11" i="9"/>
  <c r="F10" i="9"/>
  <c r="D13" i="10"/>
  <c r="D12" i="10"/>
  <c r="F11" i="10"/>
  <c r="D12" i="11"/>
  <c r="D11" i="11"/>
  <c r="F10" i="11"/>
  <c r="D12" i="12"/>
  <c r="D11" i="12"/>
  <c r="D12" i="13"/>
  <c r="D11" i="13"/>
  <c r="F10" i="13"/>
  <c r="H17" i="19" s="1"/>
  <c r="D12" i="14"/>
  <c r="D11" i="14"/>
  <c r="F10" i="14"/>
  <c r="H18" i="19" s="1"/>
  <c r="D12" i="15"/>
  <c r="D11" i="15"/>
  <c r="F10" i="15"/>
  <c r="H19" i="19" s="1"/>
  <c r="D12" i="16"/>
  <c r="D11" i="16"/>
  <c r="D12" i="17"/>
  <c r="D11" i="17"/>
  <c r="F10" i="17"/>
  <c r="H21" i="19" s="1"/>
  <c r="D12" i="18"/>
  <c r="D11" i="18"/>
  <c r="F10" i="18"/>
  <c r="H22" i="19" s="1"/>
  <c r="D12" i="20"/>
  <c r="D11" i="20"/>
  <c r="F10" i="20"/>
  <c r="H23" i="19" s="1"/>
  <c r="D12" i="21"/>
  <c r="D11" i="21"/>
  <c r="F10" i="21"/>
  <c r="H24" i="19" s="1"/>
  <c r="D12" i="22"/>
  <c r="F10" i="22"/>
  <c r="H25" i="19" s="1"/>
  <c r="H26" i="19"/>
  <c r="D11" i="26"/>
  <c r="D10" i="26"/>
  <c r="F9" i="26"/>
  <c r="H29" i="19" s="1"/>
  <c r="H30" i="19"/>
  <c r="H31" i="19"/>
  <c r="D12" i="29"/>
  <c r="D11" i="29"/>
  <c r="F10" i="29"/>
  <c r="H32" i="19" s="1"/>
  <c r="D12" i="2"/>
  <c r="D11" i="2"/>
  <c r="F10" i="2"/>
  <c r="H7" i="19" s="1"/>
  <c r="I6" i="19"/>
  <c r="D12" i="1"/>
  <c r="D11" i="1"/>
  <c r="D29" i="33"/>
  <c r="D26" i="33"/>
  <c r="D20" i="33"/>
  <c r="H26" i="17" s="1"/>
  <c r="I22" i="17"/>
  <c r="G22" i="16"/>
  <c r="F22" i="16"/>
  <c r="D8" i="16" s="1"/>
  <c r="E21" i="16"/>
  <c r="E22" i="16" s="1"/>
  <c r="C20" i="19" s="1"/>
  <c r="Q20" i="14"/>
  <c r="Q19" i="14"/>
  <c r="L45" i="12"/>
  <c r="M27" i="12"/>
  <c r="N17" i="12"/>
  <c r="N18" i="12" s="1"/>
  <c r="N19" i="12" s="1"/>
  <c r="N20" i="12" s="1"/>
  <c r="N21" i="12" s="1"/>
  <c r="M22" i="12"/>
  <c r="M46" i="12"/>
  <c r="M33" i="12" s="1"/>
  <c r="K28" i="12"/>
  <c r="K43" i="12" s="1"/>
  <c r="K27" i="12"/>
  <c r="K42" i="12" s="1"/>
  <c r="K26" i="12"/>
  <c r="K41" i="12" s="1"/>
  <c r="K29" i="12"/>
  <c r="K44" i="12" s="1"/>
  <c r="M29" i="12"/>
  <c r="M28" i="12"/>
  <c r="M26" i="12"/>
  <c r="E20" i="12"/>
  <c r="G15" i="33" s="1"/>
  <c r="H30" i="12" s="1"/>
  <c r="E68" i="10"/>
  <c r="H57" i="10"/>
  <c r="G57" i="10"/>
  <c r="F57" i="10"/>
  <c r="E57" i="10"/>
  <c r="E45" i="10"/>
  <c r="E34" i="10"/>
  <c r="J18" i="11"/>
  <c r="H68" i="10"/>
  <c r="G68" i="10"/>
  <c r="F68" i="10"/>
  <c r="H84" i="10"/>
  <c r="H45" i="10"/>
  <c r="F45" i="10"/>
  <c r="E83" i="10"/>
  <c r="H34" i="10"/>
  <c r="G34" i="10"/>
  <c r="F34" i="10"/>
  <c r="F23" i="10"/>
  <c r="E44" i="1"/>
  <c r="E53" i="1" s="1"/>
  <c r="G53" i="1"/>
  <c r="H53" i="1"/>
  <c r="I53" i="1"/>
  <c r="J53" i="1"/>
  <c r="G54" i="1"/>
  <c r="H54" i="1"/>
  <c r="J54" i="1"/>
  <c r="H56" i="1"/>
  <c r="I56" i="1"/>
  <c r="E48" i="1"/>
  <c r="D44" i="1"/>
  <c r="D53" i="1" s="1"/>
  <c r="F44" i="1"/>
  <c r="F53" i="1" s="1"/>
  <c r="D45" i="1"/>
  <c r="D54" i="1" s="1"/>
  <c r="E45" i="1"/>
  <c r="E54" i="1" s="1"/>
  <c r="F45" i="1"/>
  <c r="F54" i="1" s="1"/>
  <c r="D47" i="1"/>
  <c r="D56" i="1" s="1"/>
  <c r="E47" i="1"/>
  <c r="E56" i="1" s="1"/>
  <c r="F47" i="1"/>
  <c r="F56" i="1" s="1"/>
  <c r="D48" i="1"/>
  <c r="F48" i="1"/>
  <c r="F38" i="20"/>
  <c r="F37" i="20"/>
  <c r="E37" i="20"/>
  <c r="E36" i="20"/>
  <c r="E20" i="20"/>
  <c r="I18" i="20"/>
  <c r="G55" i="21"/>
  <c r="H55" i="21"/>
  <c r="I55" i="21"/>
  <c r="K55" i="21" s="1"/>
  <c r="G51" i="29"/>
  <c r="G35" i="22"/>
  <c r="F51" i="29"/>
  <c r="J42" i="21"/>
  <c r="H20" i="20"/>
  <c r="G20" i="20"/>
  <c r="F20" i="20"/>
  <c r="D8" i="20" s="1"/>
  <c r="H22" i="18"/>
  <c r="G22" i="18"/>
  <c r="F22" i="18"/>
  <c r="D8" i="18" s="1"/>
  <c r="E22" i="18"/>
  <c r="I21" i="15"/>
  <c r="H21" i="15"/>
  <c r="F21" i="15"/>
  <c r="E21" i="15"/>
  <c r="P22" i="14"/>
  <c r="O22" i="14"/>
  <c r="N22" i="14"/>
  <c r="M22" i="14"/>
  <c r="L22" i="14"/>
  <c r="K22" i="14"/>
  <c r="J22" i="14"/>
  <c r="I22" i="14"/>
  <c r="H22" i="14"/>
  <c r="G22" i="14"/>
  <c r="F22" i="14"/>
  <c r="E22" i="14"/>
  <c r="E20" i="13"/>
  <c r="F20" i="13"/>
  <c r="I20" i="11"/>
  <c r="H20" i="11"/>
  <c r="G20" i="11"/>
  <c r="F20" i="11"/>
  <c r="D8" i="11"/>
  <c r="E20" i="11"/>
  <c r="H19" i="9"/>
  <c r="G19" i="9"/>
  <c r="E13" i="19" s="1"/>
  <c r="F19" i="9"/>
  <c r="E19" i="9"/>
  <c r="C13" i="19" s="1"/>
  <c r="H19" i="8"/>
  <c r="G19" i="8"/>
  <c r="E12" i="19" s="1"/>
  <c r="F19" i="8"/>
  <c r="E19" i="8"/>
  <c r="H23" i="4"/>
  <c r="G23" i="4"/>
  <c r="D8" i="4"/>
  <c r="F9" i="19" s="1"/>
  <c r="E23" i="4"/>
  <c r="H22" i="3"/>
  <c r="G22" i="3"/>
  <c r="E8" i="19" s="1"/>
  <c r="F22" i="3"/>
  <c r="E22" i="3"/>
  <c r="G23" i="2"/>
  <c r="E7" i="19" s="1"/>
  <c r="F23" i="2"/>
  <c r="E23" i="2"/>
  <c r="C7" i="19" s="1"/>
  <c r="I51" i="10"/>
  <c r="D24" i="33"/>
  <c r="D36" i="22" s="1"/>
  <c r="D23" i="33"/>
  <c r="D22" i="33"/>
  <c r="D39" i="20" s="1"/>
  <c r="D5" i="33"/>
  <c r="D63" i="1" s="1"/>
  <c r="D31" i="33"/>
  <c r="E24" i="6"/>
  <c r="H26" i="6"/>
  <c r="G26" i="6"/>
  <c r="G24" i="6"/>
  <c r="G25" i="6"/>
  <c r="F26" i="6"/>
  <c r="H25" i="6"/>
  <c r="F25" i="6"/>
  <c r="H24" i="6"/>
  <c r="F24" i="6"/>
  <c r="D8" i="6" s="1"/>
  <c r="E25" i="6"/>
  <c r="E26" i="6"/>
  <c r="H17" i="26"/>
  <c r="G17" i="26"/>
  <c r="F17" i="26"/>
  <c r="D7" i="26" s="1"/>
  <c r="C29" i="19" s="1"/>
  <c r="E17" i="26"/>
  <c r="J27" i="22"/>
  <c r="J47" i="21"/>
  <c r="J46" i="21"/>
  <c r="K44" i="21"/>
  <c r="J44" i="21"/>
  <c r="K42" i="21"/>
  <c r="G30" i="20"/>
  <c r="G18" i="13"/>
  <c r="G17" i="13"/>
  <c r="I22" i="4"/>
  <c r="I21" i="4"/>
  <c r="I35" i="6"/>
  <c r="H35" i="6"/>
  <c r="G35" i="6"/>
  <c r="F35" i="6"/>
  <c r="J26" i="9"/>
  <c r="I26" i="9"/>
  <c r="H26" i="9"/>
  <c r="G26" i="9"/>
  <c r="F26" i="9"/>
  <c r="G22" i="10"/>
  <c r="G21" i="10"/>
  <c r="G20" i="10"/>
  <c r="G19" i="10"/>
  <c r="G18" i="10"/>
  <c r="K35" i="14"/>
  <c r="J35" i="14"/>
  <c r="I35" i="14"/>
  <c r="H35" i="14"/>
  <c r="K30" i="15"/>
  <c r="J30" i="15"/>
  <c r="H30" i="15"/>
  <c r="I30" i="15"/>
  <c r="J30" i="16"/>
  <c r="I30" i="16"/>
  <c r="H30" i="16"/>
  <c r="G30" i="16"/>
  <c r="J30" i="20"/>
  <c r="I30" i="20"/>
  <c r="H30" i="20"/>
  <c r="K27" i="22"/>
  <c r="I27" i="22"/>
  <c r="H27" i="22"/>
  <c r="I18" i="29"/>
  <c r="I18" i="21"/>
  <c r="I19" i="20"/>
  <c r="I21" i="18"/>
  <c r="I20" i="18"/>
  <c r="I18" i="17"/>
  <c r="J19" i="11"/>
  <c r="I62" i="10"/>
  <c r="I39" i="10"/>
  <c r="I28" i="10"/>
  <c r="D8" i="19" l="1"/>
  <c r="D8" i="3"/>
  <c r="E39" i="20"/>
  <c r="D12" i="19"/>
  <c r="D8" i="8"/>
  <c r="D7" i="19"/>
  <c r="D8" i="2"/>
  <c r="D13" i="19"/>
  <c r="D8" i="9"/>
  <c r="C8" i="19"/>
  <c r="C12" i="19"/>
  <c r="G60" i="1"/>
  <c r="F13" i="19"/>
  <c r="F12" i="19"/>
  <c r="C23" i="19"/>
  <c r="F8" i="19"/>
  <c r="F7" i="19"/>
  <c r="F14" i="19"/>
  <c r="E15" i="19"/>
  <c r="F15" i="19"/>
  <c r="I20" i="20"/>
  <c r="E24" i="33"/>
  <c r="I23" i="4"/>
  <c r="L10" i="19"/>
  <c r="O10" i="19" s="1"/>
  <c r="L18" i="19"/>
  <c r="O18" i="19" s="1"/>
  <c r="L26" i="19"/>
  <c r="O26" i="19" s="1"/>
  <c r="L24" i="19"/>
  <c r="O24" i="19" s="1"/>
  <c r="L17" i="19"/>
  <c r="O17" i="19" s="1"/>
  <c r="L19" i="19"/>
  <c r="O19" i="19" s="1"/>
  <c r="L27" i="19"/>
  <c r="O27" i="19" s="1"/>
  <c r="L16" i="19"/>
  <c r="O16" i="19"/>
  <c r="L6" i="19"/>
  <c r="O6" i="19" s="1"/>
  <c r="L12" i="19"/>
  <c r="O12" i="19" s="1"/>
  <c r="L20" i="19"/>
  <c r="O20" i="19" s="1"/>
  <c r="L28" i="19"/>
  <c r="O28" i="19" s="1"/>
  <c r="L25" i="19"/>
  <c r="O25" i="19" s="1"/>
  <c r="L11" i="19"/>
  <c r="O11" i="19" s="1"/>
  <c r="L13" i="19"/>
  <c r="O13" i="19" s="1"/>
  <c r="L21" i="19"/>
  <c r="O21" i="19" s="1"/>
  <c r="L29" i="19"/>
  <c r="O29" i="19" s="1"/>
  <c r="L8" i="19"/>
  <c r="O8" i="19" s="1"/>
  <c r="L14" i="19"/>
  <c r="O14" i="19" s="1"/>
  <c r="L22" i="19"/>
  <c r="O22" i="19" s="1"/>
  <c r="L30" i="19"/>
  <c r="O30" i="19" s="1"/>
  <c r="L32" i="19"/>
  <c r="O32" i="19" s="1"/>
  <c r="L7" i="19"/>
  <c r="O7" i="19" s="1"/>
  <c r="L15" i="19"/>
  <c r="O15" i="19"/>
  <c r="L23" i="19"/>
  <c r="O23" i="19" s="1"/>
  <c r="L31" i="19"/>
  <c r="O31" i="19" s="1"/>
  <c r="H27" i="6"/>
  <c r="J20" i="11"/>
  <c r="J55" i="21"/>
  <c r="K12" i="19"/>
  <c r="K10" i="19"/>
  <c r="F27" i="6"/>
  <c r="M30" i="12"/>
  <c r="M34" i="12" s="1"/>
  <c r="J21" i="15"/>
  <c r="H27" i="19"/>
  <c r="H28" i="19"/>
  <c r="I22" i="18"/>
  <c r="F84" i="10"/>
  <c r="K8" i="19"/>
  <c r="G21" i="15"/>
  <c r="F24" i="33"/>
  <c r="G36" i="22" s="1"/>
  <c r="D8" i="22"/>
  <c r="C25" i="19" s="1"/>
  <c r="F39" i="20"/>
  <c r="K23" i="19"/>
  <c r="K22" i="19"/>
  <c r="C22" i="19"/>
  <c r="E20" i="33"/>
  <c r="I26" i="17" s="1"/>
  <c r="D8" i="17" s="1"/>
  <c r="C21" i="19" s="1"/>
  <c r="G20" i="13"/>
  <c r="D8" i="13" s="1"/>
  <c r="C17" i="19" s="1"/>
  <c r="F15" i="33"/>
  <c r="G30" i="12" s="1"/>
  <c r="E15" i="33"/>
  <c r="F30" i="12" s="1"/>
  <c r="D15" i="33"/>
  <c r="E30" i="12" s="1"/>
  <c r="I83" i="10"/>
  <c r="E84" i="10"/>
  <c r="C14" i="19" s="1"/>
  <c r="K9" i="19"/>
  <c r="K7" i="19"/>
  <c r="K15" i="19"/>
  <c r="K16" i="19"/>
  <c r="K18" i="19"/>
  <c r="K29" i="19"/>
  <c r="K13" i="19"/>
  <c r="I60" i="1"/>
  <c r="I61" i="1"/>
  <c r="G62" i="1"/>
  <c r="J60" i="1"/>
  <c r="E27" i="6"/>
  <c r="G27" i="6"/>
  <c r="E11" i="19" s="1"/>
  <c r="E23" i="33"/>
  <c r="H61" i="1"/>
  <c r="J61" i="1"/>
  <c r="J62" i="1"/>
  <c r="H62" i="1"/>
  <c r="I62" i="1"/>
  <c r="K20" i="19"/>
  <c r="G84" i="10"/>
  <c r="E14" i="19" s="1"/>
  <c r="H60" i="1"/>
  <c r="G23" i="10"/>
  <c r="M45" i="12"/>
  <c r="M32" i="12" s="1"/>
  <c r="I15" i="33"/>
  <c r="I25" i="12" s="1"/>
  <c r="M31" i="12" l="1"/>
  <c r="N31" i="12"/>
  <c r="C16" i="19"/>
  <c r="D8" i="14"/>
  <c r="F18" i="19" s="1"/>
  <c r="D14" i="19"/>
  <c r="K14" i="19" s="1"/>
  <c r="D9" i="10"/>
  <c r="C24" i="19"/>
  <c r="G63" i="1"/>
  <c r="F11" i="19"/>
  <c r="K26" i="19"/>
  <c r="K24" i="19"/>
  <c r="K27" i="19"/>
  <c r="K32" i="19"/>
  <c r="K17" i="19"/>
  <c r="K25" i="19"/>
  <c r="K31" i="19"/>
  <c r="D11" i="19"/>
  <c r="K11" i="19" s="1"/>
  <c r="I84" i="10"/>
  <c r="E29" i="33"/>
  <c r="K21" i="15"/>
  <c r="D8" i="15" s="1"/>
  <c r="C19" i="19" s="1"/>
  <c r="C11" i="19"/>
  <c r="K28" i="19"/>
  <c r="K21" i="19"/>
  <c r="F5" i="33"/>
  <c r="H5" i="33"/>
  <c r="J63" i="1" s="1"/>
  <c r="E5" i="33"/>
  <c r="G5" i="33"/>
  <c r="E6" i="19" s="1"/>
  <c r="C6" i="19" l="1"/>
  <c r="F81" i="27"/>
  <c r="D8" i="27" s="1"/>
  <c r="C30" i="19" s="1"/>
  <c r="F6" i="19"/>
  <c r="K19" i="19"/>
  <c r="K30" i="19"/>
  <c r="K6" i="19" l="1"/>
  <c r="G45" i="29" l="1"/>
  <c r="I45" i="29"/>
  <c r="G72" i="29" s="1"/>
  <c r="G63" i="29"/>
  <c r="F63" i="29"/>
  <c r="F72" i="29"/>
  <c r="D8" i="29" s="1"/>
  <c r="C3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Rafael E. Moreno Alvarez</author>
  </authors>
  <commentList>
    <comment ref="Y5" authorId="0" shapeId="0" xr:uid="{FB2C443E-5ECF-4407-AB0C-D814CC266CEC}">
      <text>
        <r>
          <rPr>
            <sz val="11"/>
            <color theme="1"/>
            <rFont val="Calibri"/>
            <family val="2"/>
            <scheme val="minor"/>
          </rPr>
          <t>======
ID#AAABk4FCruw
EMH    (2025-06-27 20:57:39)
Valores en número entero aprobados por el Consejo directivo</t>
        </r>
      </text>
    </comment>
    <comment ref="Z5" authorId="0" shapeId="0" xr:uid="{B8BFEEB9-1866-451D-81E7-83E9A31C1E66}">
      <text>
        <r>
          <rPr>
            <sz val="11"/>
            <color theme="1"/>
            <rFont val="Calibri"/>
            <family val="2"/>
            <scheme val="minor"/>
          </rPr>
          <t>======
ID#AAABk4FCrus
EMH    (2025-06-27 20:57:39)
Relacione aquí las ponderaciones o pesos dados a cada componente del Plan de Acción en la vigencia objeto del reporte, teniendo en cuenta que, si alguna actividad, proyecto o programa no tiene metas para la vigencia que se esta reportando, el valor que tiene asignado debe distribuirse de forma equitativa entre los componentes que si tienen meta.</t>
        </r>
      </text>
    </comment>
    <comment ref="A90" authorId="1" shapeId="0" xr:uid="{5B44FF49-C0FD-43C9-A339-6209717FA948}">
      <text>
        <r>
          <rPr>
            <b/>
            <sz val="9"/>
            <color indexed="81"/>
            <rFont val="Tahoma"/>
            <family val="2"/>
          </rPr>
          <t>Rafael E. Moreno Alvarez:</t>
        </r>
        <r>
          <rPr>
            <sz val="9"/>
            <color indexed="81"/>
            <rFont val="Tahoma"/>
            <family val="2"/>
          </rPr>
          <t xml:space="preserve">
Revisar el Plan para estipular
 las acciones a realizar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D41" authorId="0" shapeId="0" xr:uid="{A16746A7-98D3-46FF-AEF7-552E408BE766}">
      <text>
        <r>
          <rPr>
            <b/>
            <sz val="9"/>
            <color rgb="FF000000"/>
            <rFont val="Tahoma"/>
            <family val="2"/>
          </rPr>
          <t>EMH:</t>
        </r>
        <r>
          <rPr>
            <sz val="9"/>
            <color rgb="FF000000"/>
            <rFont val="Tahoma"/>
            <family val="2"/>
          </rPr>
          <t xml:space="preserve">
</t>
        </r>
        <r>
          <rPr>
            <sz val="9"/>
            <color rgb="FF000000"/>
            <rFont val="Tahoma"/>
            <family val="2"/>
          </rPr>
          <t xml:space="preserve">Definir si hay o no, debido a que en la info de PM10 se dejaron vacias las celdas
</t>
        </r>
        <r>
          <rPr>
            <b/>
            <sz val="9"/>
            <color rgb="FF000000"/>
            <rFont val="Tahoma"/>
            <family val="2"/>
          </rPr>
          <t>RM:</t>
        </r>
        <r>
          <rPr>
            <sz val="9"/>
            <color rgb="FF000000"/>
            <rFont val="Tahoma"/>
            <family val="2"/>
          </rPr>
          <t xml:space="preserve">
</t>
        </r>
        <r>
          <rPr>
            <sz val="9"/>
            <color rgb="FF000000"/>
            <rFont val="Tahoma"/>
            <family val="2"/>
          </rPr>
          <t xml:space="preserve">Observaciones ajustadas.
</t>
        </r>
      </text>
    </comment>
    <comment ref="D63" authorId="0" shapeId="0" xr:uid="{E299A598-C5AC-4744-9471-D01521524DBB}">
      <text>
        <r>
          <rPr>
            <b/>
            <sz val="9"/>
            <color indexed="81"/>
            <rFont val="Tahoma"/>
            <family val="2"/>
          </rPr>
          <t>EMH:</t>
        </r>
        <r>
          <rPr>
            <sz val="9"/>
            <color indexed="81"/>
            <rFont val="Tahoma"/>
            <family val="2"/>
          </rPr>
          <t xml:space="preserve">
Idem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5" authorId="0" shapeId="0" xr:uid="{00000000-0006-0000-0400-000001000000}">
      <text>
        <r>
          <rPr>
            <b/>
            <sz val="9"/>
            <color indexed="81"/>
            <rFont val="Tahoma"/>
            <family val="2"/>
          </rPr>
          <t>Usuario:</t>
        </r>
        <r>
          <rPr>
            <sz val="9"/>
            <color indexed="81"/>
            <rFont val="Tahoma"/>
            <family val="2"/>
          </rPr>
          <t xml:space="preserve">
Datos tomados de Informe 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E59" authorId="0" shapeId="0" xr:uid="{00000000-0006-0000-0500-000001000000}">
      <text>
        <r>
          <rPr>
            <b/>
            <sz val="9"/>
            <color indexed="81"/>
            <rFont val="Tahoma"/>
            <family val="2"/>
          </rPr>
          <t>Usuario:</t>
        </r>
        <r>
          <rPr>
            <sz val="9"/>
            <color indexed="81"/>
            <rFont val="Tahoma"/>
            <family val="2"/>
          </rPr>
          <t xml:space="preserve">
Asigne un valor de ponderación para cada tipo de instrumento contemplado en la vigencia objeto de reporte. La suma debe ser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I21" authorId="0" shapeId="0" xr:uid="{17805693-32D5-4A98-8E60-03B2C1FE3C57}">
      <text>
        <r>
          <rPr>
            <b/>
            <sz val="9"/>
            <color indexed="81"/>
            <rFont val="Tahoma"/>
            <family val="2"/>
          </rPr>
          <t>EMH:</t>
        </r>
        <r>
          <rPr>
            <sz val="9"/>
            <color indexed="81"/>
            <rFont val="Tahoma"/>
            <family val="2"/>
          </rPr>
          <t xml:space="preserve">
Revisar, de acuerdo al dato que registran no tendrian municipios sin PSMV aprobado.
</t>
        </r>
        <r>
          <rPr>
            <b/>
            <sz val="9"/>
            <color indexed="81"/>
            <rFont val="Tahoma"/>
            <family val="2"/>
          </rPr>
          <t>RM:</t>
        </r>
        <r>
          <rPr>
            <sz val="9"/>
            <color indexed="81"/>
            <rFont val="Tahoma"/>
            <family val="2"/>
          </rPr>
          <t xml:space="preserve">
Se aclara información de PSMV Aprobados y no aprobados.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Nubia Bello</author>
  </authors>
  <commentList>
    <comment ref="E21" authorId="0" shapeId="0" xr:uid="{D6CFF12B-57A9-4863-9F51-FFEA483F0FB7}">
      <text>
        <r>
          <rPr>
            <b/>
            <sz val="9"/>
            <color rgb="FF000000"/>
            <rFont val="Tahoma"/>
            <family val="2"/>
          </rPr>
          <t>Nubia Bello:</t>
        </r>
        <r>
          <rPr>
            <sz val="9"/>
            <color rgb="FF000000"/>
            <rFont val="Tahoma"/>
            <family val="2"/>
          </rPr>
          <t xml:space="preserve">
PMA EN 70% FORMULACIÓN SABANALARGA - TUBARA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Nubia Bello</author>
    <author>EMH</author>
  </authors>
  <commentList>
    <comment ref="E27" authorId="0" shapeId="0" xr:uid="{A7112033-627B-44F9-871A-9DF842CFD01F}">
      <text>
        <r>
          <rPr>
            <b/>
            <sz val="9"/>
            <color indexed="81"/>
            <rFont val="Tahoma"/>
            <family val="2"/>
          </rPr>
          <t>Nubia Bello:</t>
        </r>
        <r>
          <rPr>
            <sz val="9"/>
            <color indexed="81"/>
            <rFont val="Tahoma"/>
            <family val="2"/>
          </rPr>
          <t xml:space="preserve">
Meta programada de declaratoria para la vigencia 2025</t>
        </r>
      </text>
    </comment>
    <comment ref="H39" authorId="1" shapeId="0" xr:uid="{23B0A7B4-ADB5-4FB4-ADD5-33FD01FB8100}">
      <text>
        <r>
          <rPr>
            <b/>
            <sz val="9"/>
            <color indexed="81"/>
            <rFont val="Tahoma"/>
            <family val="2"/>
          </rPr>
          <t>EMH:</t>
        </r>
        <r>
          <rPr>
            <sz val="9"/>
            <color indexed="81"/>
            <rFont val="Tahoma"/>
            <family val="2"/>
          </rPr>
          <t xml:space="preserve">
Si la meta es de 550 porque tienen en total 1300?</t>
        </r>
      </text>
    </comment>
    <comment ref="G42" authorId="1" shapeId="0" xr:uid="{189870F8-3639-4E7A-8A2F-09E79992CFBC}">
      <text>
        <r>
          <rPr>
            <b/>
            <sz val="9"/>
            <color indexed="81"/>
            <rFont val="Tahoma"/>
            <family val="2"/>
          </rPr>
          <t>EMH:</t>
        </r>
        <r>
          <rPr>
            <sz val="9"/>
            <color indexed="81"/>
            <rFont val="Tahoma"/>
            <family val="2"/>
          </rPr>
          <t xml:space="preserve">
de estas que tenian en aprestamiento finalmente se delimitaron solo 550?</t>
        </r>
      </text>
    </comment>
    <comment ref="H44" authorId="1" shapeId="0" xr:uid="{7906398F-A602-4616-AFAD-250DAEE20F9F}">
      <text>
        <r>
          <rPr>
            <b/>
            <sz val="9"/>
            <color indexed="81"/>
            <rFont val="Tahoma"/>
            <family val="2"/>
          </rPr>
          <t>EMH:</t>
        </r>
        <r>
          <rPr>
            <sz val="9"/>
            <color indexed="81"/>
            <rFont val="Tahoma"/>
            <family val="2"/>
          </rPr>
          <t xml:space="preserve">
Cual es el Acto administrativo de declaratoria?
</t>
        </r>
        <r>
          <rPr>
            <b/>
            <sz val="9"/>
            <color indexed="81"/>
            <rFont val="Tahoma"/>
            <family val="2"/>
          </rPr>
          <t>RM:</t>
        </r>
        <r>
          <rPr>
            <sz val="9"/>
            <color indexed="81"/>
            <rFont val="Tahoma"/>
            <family val="2"/>
          </rPr>
          <t xml:space="preserve">
Se ajusta el valor teniendo en cuenta que el área protegida que se contempla declarar tiene 1300 ha; sin embargo, esta queda en fase de aprestamiento dado que se presentó el documento técnico a la Humbolt para su revisión. Se espra su declaratoria para la vigencia del siguiente PAI 2024-2027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F24" authorId="0" shapeId="0" xr:uid="{AE8D4C6F-AFE6-4E8C-9B83-F06FD75E97C5}">
      <text>
        <r>
          <rPr>
            <b/>
            <sz val="9"/>
            <color indexed="81"/>
            <rFont val="Tahoma"/>
            <family val="2"/>
          </rPr>
          <t>EMH:</t>
        </r>
        <r>
          <rPr>
            <sz val="9"/>
            <color indexed="81"/>
            <rFont val="Tahoma"/>
            <family val="2"/>
          </rPr>
          <t xml:space="preserve">
Indicar el sector
</t>
        </r>
        <r>
          <rPr>
            <b/>
            <sz val="9"/>
            <color indexed="81"/>
            <rFont val="Tahoma"/>
            <family val="2"/>
          </rPr>
          <t>RM:</t>
        </r>
        <r>
          <rPr>
            <sz val="9"/>
            <color indexed="81"/>
            <rFont val="Tahoma"/>
            <family val="2"/>
          </rPr>
          <t xml:space="preserve">
Se ajustan los sectores de acuerdo a informes de gestión.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tc={50FDC125-4BBD-9945-87D8-DCCC7C44F96B}</author>
  </authors>
  <commentList>
    <comment ref="D23" authorId="0" shapeId="0" xr:uid="{50FDC125-4BBD-9945-87D8-DCCC7C44F96B}">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Tiene meta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D51" authorId="0" shapeId="0" xr:uid="{8F4BD1D2-B3C3-410C-BD48-150CD8068824}">
      <text>
        <r>
          <rPr>
            <b/>
            <sz val="9"/>
            <color indexed="81"/>
            <rFont val="Tahoma"/>
            <family val="2"/>
          </rPr>
          <t>EMH:</t>
        </r>
        <r>
          <rPr>
            <sz val="9"/>
            <color indexed="81"/>
            <rFont val="Tahoma"/>
            <family val="2"/>
          </rPr>
          <t xml:space="preserve">
No se tiene el caudal al cual se le hace seguimiento?</t>
        </r>
      </text>
    </comment>
    <comment ref="D72" authorId="0" shapeId="0" xr:uid="{2886AC44-9DA2-4819-B8C0-A89709A56BCD}">
      <text>
        <r>
          <rPr>
            <b/>
            <sz val="9"/>
            <color indexed="81"/>
            <rFont val="Tahoma"/>
            <family val="2"/>
          </rPr>
          <t>EMH:</t>
        </r>
        <r>
          <rPr>
            <sz val="9"/>
            <color indexed="81"/>
            <rFont val="Tahoma"/>
            <family val="2"/>
          </rPr>
          <t xml:space="preserve">
No se tiene el caudal al cual se le hace seguimiento?</t>
        </r>
      </text>
    </comment>
    <comment ref="D90" authorId="0" shapeId="0" xr:uid="{5FA51B8C-62B8-4557-873A-11316AD70841}">
      <text>
        <r>
          <rPr>
            <b/>
            <sz val="9"/>
            <color indexed="81"/>
            <rFont val="Tahoma"/>
            <family val="2"/>
          </rPr>
          <t>EMH:</t>
        </r>
        <r>
          <rPr>
            <sz val="9"/>
            <color indexed="81"/>
            <rFont val="Tahoma"/>
            <family val="2"/>
          </rPr>
          <t xml:space="preserve">
No se tiene el volumen al que se le hace seguimiento?</t>
        </r>
      </text>
    </comment>
  </commentList>
</comments>
</file>

<file path=xl/sharedStrings.xml><?xml version="1.0" encoding="utf-8"?>
<sst xmlns="http://schemas.openxmlformats.org/spreadsheetml/2006/main" count="8277" uniqueCount="2846">
  <si>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</si>
  <si>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</si>
  <si>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</si>
  <si>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</si>
  <si>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</si>
  <si>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</si>
  <si>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</si>
  <si>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</si>
  <si>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</si>
  <si>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</si>
  <si>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</si>
  <si>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</si>
  <si>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</si>
  <si>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</si>
  <si>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</si>
  <si>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</si>
  <si>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</si>
  <si>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</si>
  <si>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</si>
  <si>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</si>
  <si>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</si>
  <si>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</si>
  <si>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</si>
  <si>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</si>
  <si>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</si>
  <si>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</si>
  <si>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</si>
  <si>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</si>
  <si>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</si>
  <si>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</si>
  <si>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</si>
  <si>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</si>
  <si>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</si>
  <si>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</si>
  <si>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</si>
  <si>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</si>
  <si>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</si>
  <si>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 xml:space="preserve"> INFORME DE EJECUCION PRESUPUESTAL DE INGRESOS </t>
  </si>
  <si>
    <t>CORPORACIÓN AUTÓMA REGIONAL DE XXXXX</t>
  </si>
  <si>
    <t xml:space="preserve">RECURSOS VIGENCIA :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</si>
  <si>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</si>
  <si>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</si>
  <si>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</si>
  <si>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</si>
  <si>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</si>
  <si>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</si>
  <si>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</si>
  <si>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</si>
  <si>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</si>
  <si>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</si>
  <si>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</si>
  <si>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</si>
  <si>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</si>
  <si>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NIVEL RENTISTICO</t>
  </si>
  <si>
    <t>SUBNIVEL RENTISTICO</t>
  </si>
  <si>
    <t>CONCEPTO</t>
  </si>
  <si>
    <t>NIVEL 1</t>
  </si>
  <si>
    <t>NIVEL 2</t>
  </si>
  <si>
    <t>NIVEL 3</t>
  </si>
  <si>
    <t>NIVEL 4</t>
  </si>
  <si>
    <t>NIVEL 5</t>
  </si>
  <si>
    <t>(4)
ADICIÓN</t>
  </si>
  <si>
    <t>(5)
REDUCCIÓN</t>
  </si>
  <si>
    <t>(7)
FUNCIONAMIENTO</t>
  </si>
  <si>
    <t>(8)
INVERSIÓN</t>
  </si>
  <si>
    <t>(9)
FCA</t>
  </si>
  <si>
    <t>(10)
SERVICIO A LA DEUDA</t>
  </si>
  <si>
    <t>1</t>
  </si>
  <si>
    <t>Ingresos</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</si>
  <si>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</si>
  <si>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t>
  </si>
  <si>
    <t>01</t>
  </si>
  <si>
    <t>Ingresos Recursos Propios</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</si>
  <si>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</si>
  <si>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</si>
  <si>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</si>
  <si>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</si>
  <si>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</si>
  <si>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</si>
  <si>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</si>
  <si>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</si>
  <si>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Sobretasa ambiental - Peajes</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</si>
  <si>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</si>
  <si>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</si>
  <si>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</si>
  <si>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02</t>
  </si>
  <si>
    <t>Sobretasa ambiental - Peajes (vigencia anterior)</t>
  </si>
  <si>
    <t>03</t>
  </si>
  <si>
    <t>Sobretasa ambiental - Peajes (Rendimientos Financieros)</t>
  </si>
  <si>
    <t>04</t>
  </si>
  <si>
    <t>Sobretasa ambiental - Peajes (Intereses por mora)</t>
  </si>
  <si>
    <t>05</t>
  </si>
  <si>
    <t>Sobretasa ambiental - Peajes (Recuperación de Cartera)</t>
  </si>
  <si>
    <t>06</t>
  </si>
  <si>
    <t>Sobretasa ambiental - Peajes (Superhavit - Mayor recaudo)</t>
  </si>
  <si>
    <t>07</t>
  </si>
  <si>
    <t>Sobretasa ambiental - Peajes (Superhavit -Recursos no ejecutados)</t>
  </si>
  <si>
    <t>08</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</si>
  <si>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</si>
  <si>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</si>
  <si>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</si>
  <si>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</si>
  <si>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</si>
  <si>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Participación de intereses de mora sobre la sobretasa ambiental-peajes  (Rendimientos Financieros)</t>
  </si>
  <si>
    <t>Participación de intereses de mora sobre la sobretasa ambiental-peajes  (Intereses por mora)</t>
  </si>
  <si>
    <t>Participación de intereses de mora sobre la sobretasa ambiental-peajes  (Recuperación de Cartera)</t>
  </si>
  <si>
    <t>Participación de intereses de mora sobre la sobretasa ambiental-peajes  (Superhavit - Mayor recaudo)</t>
  </si>
  <si>
    <t>Participación de intereses de mora sobre la sobretasa ambiental-peajes  (Superhavit -Recursos no ejecutados)</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</si>
  <si>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</si>
  <si>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</si>
  <si>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</si>
  <si>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</si>
  <si>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</si>
  <si>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 la sobretasa ambiental - Corporaciones Autónomas Regionales (Rendimientos Financieros)</t>
  </si>
  <si>
    <t>Participación de la sobretasa ambiental - Corporaciones Autónomas Regionales (Intereses por mora)</t>
  </si>
  <si>
    <t>Participación de la sobretasa ambiental - Corporaciones Autónomas Regionales (Recuperación de Cartera)</t>
  </si>
  <si>
    <t>Participación de la sobretasa ambiental - Corporaciones Autónomas Regionales (Superhavit - Mayor recaudo)</t>
  </si>
  <si>
    <t>Participación de la sobretasa ambiental - Corporaciones Autónomas Regionales (Superhavit -Recursos no ejecutados)</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</si>
  <si>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</si>
  <si>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</si>
  <si>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</si>
  <si>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del porcentaje ambiental - Corporaciones Autónomas Regionales  (Rendimientos Financieros)</t>
  </si>
  <si>
    <t>Participación del porcentaje ambiental - Corporaciones Autónomas Regionales  (Intereses por mora)</t>
  </si>
  <si>
    <t>Participación del porcentaje ambiental - Corporaciones Autónomas Regionales  (Recuperación de Cartera)</t>
  </si>
  <si>
    <t>Participación del porcentaje ambiental - Corporaciones Autónomas Regionales  (Superhavit - Mayor recaudo)</t>
  </si>
  <si>
    <t>Participación del porcentaje ambiental - Corporaciones Autónomas Regionales  (Superhavit -Recursos no ejecutados)</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</si>
  <si>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</si>
  <si>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</si>
  <si>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</si>
  <si>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la sobretasa ambiental  (Rendimientos Financieros)</t>
  </si>
  <si>
    <t>Participación de intereses de mora sobre la sobretasa ambiental  (Intereses por mora)</t>
  </si>
  <si>
    <t>Participación de intereses de mora sobre la sobretasa ambiental  (Recuperación de Cartera)</t>
  </si>
  <si>
    <t>Participación de intereses de mora sobre la sobretasa ambiental  (Superhavit - Mayor recaudo)</t>
  </si>
  <si>
    <t>Participación de intereses de mora sobre la sobretasa ambiental  (Superhavit -Recursos no ejecutados)</t>
  </si>
  <si>
    <t>Participación de intereses de mora sobre el porcentaje ambiental</t>
  </si>
  <si>
    <t>Participación de intereses de mora sobre el porcentaje ambiental (vigencia actual)</t>
  </si>
  <si>
    <t>Participación de intereses de mora sobre el porcentaje ambiental (vigencia anterior)</t>
  </si>
  <si>
    <t>Participación de intereses de mora sobre el porcentaje ambiental  (Rendimientos Financieros)</t>
  </si>
  <si>
    <t>Participación de intereses de mora sobre el porcentaje ambiental  (Intereses por mora)</t>
  </si>
  <si>
    <t>Participación de intereses de mora sobre el porcentaje ambiental  (Recuperación de Cartera)</t>
  </si>
  <si>
    <t>Participación de intereses de mora sobre el porcentaje ambiental  (Superhavit - Mayor recaudo)</t>
  </si>
  <si>
    <t>Participación de intereses de mora sobre el porcentaje ambiental  (Superhavit -Recursos no ejecutados)</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</si>
  <si>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</si>
  <si>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</si>
  <si>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</si>
  <si>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</si>
  <si>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</si>
  <si>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</si>
  <si>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</si>
  <si>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</si>
  <si>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</si>
  <si>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</si>
  <si>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</si>
  <si>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</si>
  <si>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</si>
  <si>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</si>
  <si>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</si>
  <si>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</si>
  <si>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</si>
  <si>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Contribución sector eléctrico - Energia Alternativa</t>
  </si>
  <si>
    <t>Contribución sector eléctrico - Energia Alternativa (vigencia actual)</t>
  </si>
  <si>
    <t>Contribución sector eléctrico - Energia Alternativa (vigencia anterior)</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</si>
  <si>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</si>
  <si>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</si>
  <si>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</si>
  <si>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</si>
  <si>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</si>
  <si>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</si>
  <si>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</si>
  <si>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</si>
  <si>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</si>
  <si>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</si>
  <si>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</si>
  <si>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retributiva (Rendimientos Financieros)</t>
  </si>
  <si>
    <t>Tasa retributiva (Intereses por mora)</t>
  </si>
  <si>
    <t>Tasa retributiva (Recuperación de Cartera)</t>
  </si>
  <si>
    <t>Tasa retributiva (Superhavit - Mayor recaudo)</t>
  </si>
  <si>
    <t>Tasa retributiva (Superhavit -Recursos no ejecutados)</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</si>
  <si>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</si>
  <si>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</si>
  <si>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</si>
  <si>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</si>
  <si>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</si>
  <si>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por el uso del agua (Rendimientos Financieros)</t>
  </si>
  <si>
    <t>Tasa por el uso del agua (Intereses por mora)</t>
  </si>
  <si>
    <t>Tasa por el uso del agua (Recuperación de Cartera)</t>
  </si>
  <si>
    <t>Tasa por el uso del agua (Superhavit - Mayor recaudo)</t>
  </si>
  <si>
    <t>Tasa por el uso del agua (Superhavit -Recursos no ejecutados)</t>
  </si>
  <si>
    <t>Tasa de aprovechamiento Forestal</t>
  </si>
  <si>
    <t>Tasa de aprovechamiento Forestal (vigencia actual)</t>
  </si>
  <si>
    <t>Tasa de aprovechamiento Forestal (vigencia anterior)</t>
  </si>
  <si>
    <t>Tasa de aprovechamiento forestal (Rendimientos Financieros)</t>
  </si>
  <si>
    <t>Tasa de aprovechamiento forestal (Intereses por mora)</t>
  </si>
  <si>
    <t>Tasa de aprovechamiento forestal (Recuperación de Cartera)</t>
  </si>
  <si>
    <t>Tasa de aprovechamiento forestal (Superhavit - Mayor recaudo)</t>
  </si>
  <si>
    <t>Tasa de aprovechamiento forestal (Superhavit -Recursos no ejecutados)</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</si>
  <si>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</si>
  <si>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</si>
  <si>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</si>
  <si>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</si>
  <si>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</si>
  <si>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Tasa compensatoria por caza de Fauna Silvestre (Rendimientos Financieros)</t>
  </si>
  <si>
    <t>Tasa compensatoria por caza de Fauna Silvestre (Intereses por mora)</t>
  </si>
  <si>
    <t>Tasa compensatoria por caza de Fauna Silvestre (Recuperación de Cartera)</t>
  </si>
  <si>
    <t>Tasa compensatoria por caza de Fauna Silvestre (Superhavit - Mayor recaudo)</t>
  </si>
  <si>
    <t>Tasa compensatoria por caza de Fauna Silvestre (Superhavit -Recursos no ejecutados)</t>
  </si>
  <si>
    <t>Otras tasas</t>
  </si>
  <si>
    <t>Otras tasas (vigencia actual)</t>
  </si>
  <si>
    <t>Otras tasas (vigencia anterior)</t>
  </si>
  <si>
    <t>Otras Tasas (Rendimientos Financieros)</t>
  </si>
  <si>
    <t>Otras Tasas (Intereses por mora)</t>
  </si>
  <si>
    <t>Otras Tasas (Recuperación de Cartera)</t>
  </si>
  <si>
    <t>Otras Tasas (Superhavit - Mayor recaudo)</t>
  </si>
  <si>
    <t>Otras Tasas (Superhavit -Recursos no ejecutados)</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</si>
  <si>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</si>
  <si>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</si>
  <si>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</si>
  <si>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</si>
  <si>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</si>
  <si>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</si>
  <si>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</si>
  <si>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Evaluación de licencias, permisos, concesiones, autorizaciones y demás trámites ambientales (Rendimientos Financieros)</t>
  </si>
  <si>
    <t>Evaluación de licencias, permisos, concesiones, autorizaciones y demás trámites ambientales (Intereses por mora)</t>
  </si>
  <si>
    <t>Evaluación de licencias, permisos, concesiones, autorizaciones y demás trámites ambientales (Recuperación de Cartera)</t>
  </si>
  <si>
    <t>Evaluación de licencias, permisos, concesiones, autorizaciones y demás trámites ambientales (Superhavit - Mayor recaudo)</t>
  </si>
  <si>
    <t>Evaluación de licencias, permisos, concesiones, autorizaciones y demás trámites ambientales (Superhavit -Recursos no ejecutados)</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</si>
  <si>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</si>
  <si>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</si>
  <si>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</si>
  <si>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Seguimiento a licencias, permisos, concesiones, autorizaciones y demás trámites ambientales (Rendimientos Financieros)</t>
  </si>
  <si>
    <t>Seguimiento a licencias, permisos, concesiones, autorizaciones y demás trámites ambientales (Intereses por mora)</t>
  </si>
  <si>
    <t>Seguimiento a licencias, permisos, concesiones, autorizaciones y demás trámites ambientales (Recuperación de Cartera)</t>
  </si>
  <si>
    <t>Seguimiento a licencias, permisos, concesiones, autorizaciones y demás trámites ambientales (Superhavit - Mayor recaudo)</t>
  </si>
  <si>
    <t>Seguimiento a licencias, permisos, concesiones, autorizaciones y demás trámites ambientales (Superhavit -Recursos no ejecutados)</t>
  </si>
  <si>
    <t>Salvoconductos</t>
  </si>
  <si>
    <t>Salvoconductos (vigencia actual)</t>
  </si>
  <si>
    <t>Salvoconductos (vigencia anterior)</t>
  </si>
  <si>
    <t>Salvoconductos (Rendimientos Financieros)</t>
  </si>
  <si>
    <t>Salvoconductos (Intereses por mora)</t>
  </si>
  <si>
    <t>Salvoconductos (Recuperación de Cartera)</t>
  </si>
  <si>
    <t>Salvoconductos (Superhavit - Mayor recaudo)</t>
  </si>
  <si>
    <t>Salvoconductos (Superhavit -Recursos no ejecutados)</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</si>
  <si>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</si>
  <si>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</si>
  <si>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</si>
  <si>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</si>
  <si>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</si>
  <si>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</si>
  <si>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Pruebas de Bombeo y Videos de Pozos</t>
  </si>
  <si>
    <t>Pruebas de Bombeo y Videos de Pozos (vigencia actual)</t>
  </si>
  <si>
    <t>Pruebas de Bombeo y Videos de Pozos (vigencia anterior)</t>
  </si>
  <si>
    <t>Aprovechamientos por parques</t>
  </si>
  <si>
    <t>Aprovechamientos por parques (vigencia actual)</t>
  </si>
  <si>
    <t>Aprovechamientos por parques (vigencia anterior)</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</si>
  <si>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</si>
  <si>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</si>
  <si>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</si>
  <si>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</si>
  <si>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</si>
  <si>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</si>
  <si>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Multas y sanciones</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</si>
  <si>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</si>
  <si>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</si>
  <si>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</si>
  <si>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</si>
  <si>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</si>
  <si>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</si>
  <si>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</si>
  <si>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Multas Ambientales (Rendimientos Financieros)</t>
  </si>
  <si>
    <t>Multas Ambientales (Intereses por mora)</t>
  </si>
  <si>
    <t>Multas Ambientales (Recuperación de Cartera)</t>
  </si>
  <si>
    <t>Multas Ambientales (Superhavit - Mayor recaudo)</t>
  </si>
  <si>
    <t>Multas Ambientales (Superhavit -Recursos no ejecutados)</t>
  </si>
  <si>
    <t>Intereses de mora Multas Am bientales</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</si>
  <si>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</si>
  <si>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</si>
  <si>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</si>
  <si>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</si>
  <si>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</si>
  <si>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</si>
  <si>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</si>
  <si>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</si>
  <si>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</si>
  <si>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</si>
  <si>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</si>
  <si>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</si>
  <si>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</si>
  <si>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</si>
  <si>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</si>
  <si>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</si>
  <si>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</si>
  <si>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</si>
  <si>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</si>
  <si>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</si>
  <si>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</si>
  <si>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</si>
  <si>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</si>
  <si>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</si>
  <si>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</si>
  <si>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</si>
  <si>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</si>
  <si>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</si>
  <si>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</si>
  <si>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</si>
  <si>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</si>
  <si>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</si>
  <si>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</si>
  <si>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</si>
  <si>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</si>
  <si>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</si>
  <si>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</si>
  <si>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</si>
  <si>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</si>
  <si>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</si>
  <si>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</si>
  <si>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</si>
  <si>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</si>
  <si>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</si>
  <si>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</si>
  <si>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</si>
  <si>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</si>
  <si>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</si>
  <si>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</si>
  <si>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</si>
  <si>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</si>
  <si>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</si>
  <si>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</si>
  <si>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</si>
  <si>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</si>
  <si>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</si>
  <si>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</si>
  <si>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</si>
  <si>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</si>
  <si>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</si>
  <si>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</si>
  <si>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</si>
  <si>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</si>
  <si>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</si>
  <si>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</si>
  <si>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</si>
  <si>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</si>
  <si>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</si>
  <si>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</si>
  <si>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</si>
  <si>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</si>
  <si>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</si>
  <si>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</si>
  <si>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</si>
  <si>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</si>
  <si>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</si>
  <si>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</si>
  <si>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</si>
  <si>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</si>
  <si>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</si>
  <si>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</si>
  <si>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</si>
  <si>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</si>
  <si>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</si>
  <si>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</si>
  <si>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</si>
  <si>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</si>
  <si>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</si>
  <si>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</si>
  <si>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</si>
  <si>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</si>
  <si>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</si>
  <si>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</si>
  <si>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</si>
  <si>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</si>
  <si>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</si>
  <si>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</si>
  <si>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</si>
  <si>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</si>
  <si>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</si>
  <si>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</si>
  <si>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</si>
  <si>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</si>
  <si>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</si>
  <si>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</si>
  <si>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</si>
  <si>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</si>
  <si>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</si>
  <si>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</si>
  <si>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</si>
  <si>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</si>
  <si>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</si>
  <si>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t>
  </si>
  <si>
    <t>Convenios con Departamentos</t>
  </si>
  <si>
    <t xml:space="preserve">Convenios con  Municipios </t>
  </si>
  <si>
    <t>Otros Convenios</t>
  </si>
  <si>
    <t>Transferencias del sector central Nacional - PGN</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</si>
  <si>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</si>
  <si>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</si>
  <si>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</si>
  <si>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</si>
  <si>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</si>
  <si>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</si>
  <si>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</si>
  <si>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</si>
  <si>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</si>
  <si>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09</t>
  </si>
  <si>
    <t>Transferencias de órganos autónomos e independientes</t>
  </si>
  <si>
    <t>10</t>
  </si>
  <si>
    <t>Transferencias de  privados que administran recursos públicos</t>
  </si>
  <si>
    <t>11</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</si>
  <si>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</si>
  <si>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</si>
  <si>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12</t>
  </si>
  <si>
    <t>Donaciones</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</si>
  <si>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</si>
  <si>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</si>
  <si>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</si>
  <si>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</si>
  <si>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</si>
  <si>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</si>
  <si>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</si>
  <si>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</si>
  <si>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</si>
  <si>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</si>
  <si>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</si>
  <si>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</si>
  <si>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</si>
  <si>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</si>
  <si>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</si>
  <si>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</si>
  <si>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</si>
  <si>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</si>
  <si>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</si>
  <si>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</si>
  <si>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</si>
  <si>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</si>
  <si>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</si>
  <si>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</si>
  <si>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</si>
  <si>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</si>
  <si>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</si>
  <si>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</si>
  <si>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</si>
  <si>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</si>
  <si>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</si>
  <si>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</si>
  <si>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</si>
  <si>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</si>
  <si>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</si>
  <si>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</si>
  <si>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</si>
  <si>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</si>
  <si>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</si>
  <si>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</si>
  <si>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</si>
  <si>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</si>
  <si>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</si>
  <si>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</si>
  <si>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</si>
  <si>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</si>
  <si>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</si>
  <si>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</si>
  <si>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</si>
  <si>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</si>
  <si>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</si>
  <si>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</si>
  <si>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</si>
  <si>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</si>
  <si>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</si>
  <si>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</si>
  <si>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</si>
  <si>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 xml:space="preserve">Aportes Presupuesto General de la Nación </t>
  </si>
  <si>
    <t>Aportes Presupuesto General de la Nación - Funcionamiento</t>
  </si>
  <si>
    <t>Aportes de la Nación para Gastos de personal</t>
  </si>
  <si>
    <t>Aportes de la Nación para Adquisición de bienes y servicios</t>
  </si>
  <si>
    <t>Aportes de la Nación para Transferencias corrientes</t>
  </si>
  <si>
    <t>Aportes Presupuesto General de la Nación - Inversión</t>
  </si>
  <si>
    <t>Aportes Fondo de Compensación Ambiental -FCA,</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</si>
  <si>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</si>
  <si>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</si>
  <si>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</si>
  <si>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</si>
  <si>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</si>
  <si>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</si>
  <si>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</si>
  <si>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</si>
  <si>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Gastos de personal</t>
  </si>
  <si>
    <t>Aportes del SPGR para Adquisición de bienes y servicios</t>
  </si>
  <si>
    <t>Aportes del SPGR  para Transferencias corrientes</t>
  </si>
  <si>
    <t>Aportes del SPGR para Servicio de la Deuda</t>
  </si>
  <si>
    <t>Aportes del SPGR para Inversión</t>
  </si>
  <si>
    <t>ANEXO No. 2. PROTOCOLO O GUÍA DE DILIGENCIAMIENTO</t>
  </si>
  <si>
    <t xml:space="preserve">MATRIZ DE SEGUIMIENTO A LA GESTIÓN Y DE AVANCE EN LAS METAS FÍSICAS Y FINANCIERAS DEL PLAN DE ACCIÓN </t>
  </si>
  <si>
    <t>ÍTEM</t>
  </si>
  <si>
    <t>DEFINICIONES</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</si>
  <si>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</si>
  <si>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</si>
  <si>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</si>
  <si>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</si>
  <si>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</si>
  <si>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</si>
  <si>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</si>
  <si>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</si>
  <si>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</si>
  <si>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</si>
  <si>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</si>
  <si>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</si>
  <si>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</si>
  <si>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</si>
  <si>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</si>
  <si>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</si>
  <si>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</si>
  <si>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</si>
  <si>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</si>
  <si>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</si>
  <si>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</si>
  <si>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</si>
  <si>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</si>
  <si>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</si>
  <si>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</si>
  <si>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</si>
  <si>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</si>
  <si>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</si>
  <si>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ANEXOS INFORME DE SEGUIMIENTO AL PLAN DE ACCIÓN 2024-2027</t>
  </si>
  <si>
    <t>Nombre de la Corporación</t>
  </si>
  <si>
    <t>Corporación Autónoma Regional del Atlántico – CRA</t>
  </si>
  <si>
    <t>Corporación Autónoma Regional del Alto Magdalena - CAM</t>
  </si>
  <si>
    <t>Periodo a reportar</t>
  </si>
  <si>
    <t>2024-II</t>
  </si>
  <si>
    <t>Corporación Autónoma Regional de Cundinamarca – CAR</t>
  </si>
  <si>
    <t>Nombre de la persona responsable del reporte</t>
  </si>
  <si>
    <t>Germán Escaf Payares -Tayro Pimienta</t>
  </si>
  <si>
    <t>Corporación Autónoma Regional del Canal del Dique – CARDIQUE</t>
  </si>
  <si>
    <t>Dependencia</t>
  </si>
  <si>
    <t>Oficina Asesora de Planeación - Subdirección Financiera</t>
  </si>
  <si>
    <t>Corporación Autónoma Regional de Sucre – CARSUCRE</t>
  </si>
  <si>
    <t>Cargo</t>
  </si>
  <si>
    <t xml:space="preserve">Jefe Oficina Asesora de Planeación - Subdirector Financiero </t>
  </si>
  <si>
    <t>Corporación Autónoma Regional de Santander – CAS</t>
  </si>
  <si>
    <t>Correo electrónico</t>
  </si>
  <si>
    <t>gescaf@crautonoma.gov.co -  tpimienta@crautonoma.gov.co</t>
  </si>
  <si>
    <t>Corporación para el Desarrollo Sostenible del Norte y el Oriente Amazónico – CDA</t>
  </si>
  <si>
    <t>Teléfono</t>
  </si>
  <si>
    <t>(57-5) 3492482 - 3492686</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</si>
  <si>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</si>
  <si>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</si>
  <si>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</si>
  <si>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</si>
  <si>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</si>
  <si>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</si>
  <si>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</si>
  <si>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</si>
  <si>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</si>
  <si>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</si>
  <si>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</si>
  <si>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</si>
  <si>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</si>
  <si>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</si>
  <si>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</si>
  <si>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</si>
  <si>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</si>
  <si>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</si>
  <si>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</si>
  <si>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</si>
  <si>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</si>
  <si>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</si>
  <si>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</si>
  <si>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</si>
  <si>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</si>
  <si>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</si>
  <si>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</si>
  <si>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</si>
  <si>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</si>
  <si>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</si>
  <si>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</si>
  <si>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</si>
  <si>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</si>
  <si>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</si>
  <si>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2020-I</t>
  </si>
  <si>
    <t>2020-II</t>
  </si>
  <si>
    <t>2021-I</t>
  </si>
  <si>
    <t>2021-II</t>
  </si>
  <si>
    <t>2022-I</t>
  </si>
  <si>
    <t>2022-II</t>
  </si>
  <si>
    <t>2023-I</t>
  </si>
  <si>
    <t>2023-II</t>
  </si>
  <si>
    <t>2024-I</t>
  </si>
  <si>
    <t>2025-I</t>
  </si>
  <si>
    <t>2025-II</t>
  </si>
  <si>
    <t>(2) INDICADOR</t>
  </si>
  <si>
    <t xml:space="preserve">(8) FECHA DE EJECUCION DE  LA EVIDENCIA </t>
  </si>
  <si>
    <t xml:space="preserve">(9) TIPO DE EVIDENCIA </t>
  </si>
  <si>
    <t>(9-A) ACCIONES DE FUNCIONAMIENTO</t>
  </si>
  <si>
    <t>(9-B) ESTADO CONTRATO</t>
  </si>
  <si>
    <t>(9-B.1) N° CONTRATO</t>
  </si>
  <si>
    <t>(14) PONDERACIÓN ANUAL DE PROGRAMAS  Y PROYECTOS VIGENCIA OBJETO DE REPORTE</t>
  </si>
  <si>
    <t>(18) AVANCE DE LOS RECURSOS OBLIGADOS $</t>
  </si>
  <si>
    <t>Año 1</t>
  </si>
  <si>
    <t>Año 2</t>
  </si>
  <si>
    <t>Año 3</t>
  </si>
  <si>
    <t>Año 4</t>
  </si>
  <si>
    <t>NA</t>
  </si>
  <si>
    <t>Porcentaje</t>
  </si>
  <si>
    <t>2.1.1.3. Identificar y monitorear especies exóticas invasoras en el departamento del Atlántico</t>
  </si>
  <si>
    <t>3.1.1.1. Brindar anualmente asistencia técnica a los CIDEA municipales para apoyar la elaboración y/o ajuste o implementación del Plan Municipal de Educación Ambiental PEAM.</t>
  </si>
  <si>
    <t>3.1.1.2. Apoyar iniciativas del Comité Técnico Interinstitucional de Educación Ambiental Departamental -CIDEA.</t>
  </si>
  <si>
    <t>3.1.2.1. Brindar asistencia técnica a las instituciones educativas públicas para apoyar la elaboración, ajuste o implementación de los Proyectos Ambientales Escolares (PRAE).</t>
  </si>
  <si>
    <t>3.1.2.2. Brindar asistencia técnica a los semilleros de investigación o grupos ecológicos en  sus  iniciativas ambientales.</t>
  </si>
  <si>
    <t>3.1.2.3. Realizar acciones con Instituciones de Educación Superior para apoyar la realización  de  iniciativas que promuevan lo ambiental.</t>
  </si>
  <si>
    <t>3.1.3.1. Brindar asistencia técnica para apoyar la elaboración, ajuste o implementación de los Proyectos Ciudadanos de Educación Ambiental – PROCEDA o iniciativas ambientales comunitarias.</t>
  </si>
  <si>
    <t>3.1.3.2. Impulsar procesos para la cualificación en materia de Educación Ambiental en los multiplicadores, dinamizadores y ONG ambientales del departamento</t>
  </si>
  <si>
    <t>3.1.3.3. Implementar un programa de formación  de Guardianes del Medio Ambiente GUMA para apoyar acciones prácticas de la gestión ambiental de la Corporación C.R.A en los municipios del departamento del Atlantico</t>
  </si>
  <si>
    <t>3.1.3.4. Desarrollar un programa de capacitación para formar a jóvenes como Gestores Ambientales Urbanos (GAU) en el Departamento</t>
  </si>
  <si>
    <t>3.1.3.5. Implementar el Plan de Actuación Estratégico Territorial Ambiental del Departamento del Atlántico</t>
  </si>
  <si>
    <t>3.1.3.6. Implementar estrategias de conciencia ambiental en niños para fomentar la protección del ambiente.</t>
  </si>
  <si>
    <t>3.1.4.1. Implementar acciones desde la Educación Ambiental para la consolidación de una cultura en el marco de la  gestión del riesgo y del cambio climático.</t>
  </si>
  <si>
    <t>3.1.5.1. Implementación de estrategias de participación ciudadana que apunten al cumplimiento del Acuerdo de Escazú</t>
  </si>
  <si>
    <t>3.1.6.1. Transferencia de conocimiento o campañas ambientales con intencionalidad pedagógica</t>
  </si>
  <si>
    <t>3.1.7.1. Apoyar iniciativas con perspectiva de género que promuevan la sustentabilidad del territorio en el departamento del Atlántico</t>
  </si>
  <si>
    <t>3.1.8.1. Promover o participar en escenarios de divulgación de la educación ambiental a nivel departamental, regional, nacional o internacional</t>
  </si>
  <si>
    <t>3.1.8.2. Apoyar eventos o ferias ambientales dirigidas a las organizaciones ambientales del Departamento.</t>
  </si>
  <si>
    <t>3.2.1.1. Apoyar iniciativas para fortalecer los conocimientos, usos, costumbres, saberes y prácticas tradicionales ambientales de las comunidades negras del Departamento del Atlántico</t>
  </si>
  <si>
    <t>3.2.1.2. Apoyar iniciativas para fortalecer los conocimientos, usos, costumbres, saberes y prácticas tradicionales ambientales de las comunidades indígenas y otras étnias tradicionalmente asentadas en el Departamento del Atlántico</t>
  </si>
  <si>
    <t xml:space="preserve"> </t>
  </si>
  <si>
    <t>3.2.1.3. Apoyar iniciativas para fortalecer los conocimientos, usos, costumbres, saberes y prácticas tradicionales ambientales de las comunidades Rrom asentadas en el Departamento del Atlántico</t>
  </si>
  <si>
    <t>3.3.1.1. Elaborar Cuatro (4)  Documentos Técnicos con el informe de seguimiento a los ODS de los municipios del Departamento</t>
  </si>
  <si>
    <t>4.1.2.1. Municipios asistidos en la inclusión del componente ambiental en los procesos de planificación y ordenamiento territorial, con énfasis en la incorporación de las determinantes ambientales para la revisión y ajuste de los POT</t>
  </si>
  <si>
    <t>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t>
  </si>
  <si>
    <t>5.5.1.3. Acompañamiento técnico en la formulación de proyectos relacionados con la acción climática en municipios de la jurisdicción de la C.R.A..</t>
  </si>
  <si>
    <t>ANEXO No. 2.PROTOCOLO O GUÍA DE DILIGENCIAMIENTO</t>
  </si>
  <si>
    <t xml:space="preserve">ITEM </t>
  </si>
  <si>
    <t>Enuncie el nombre de cada uno de los componentes de la estructura jerárquica del PAC (Línea estrategica, Programa, Proyecto, Actividad). Inserte filas cuando sea necesario.</t>
  </si>
  <si>
    <t>Indicador establecido para la medición del avance de cada una de las metas previstas en el PAC.</t>
  </si>
  <si>
    <t>(3) UNIDAD DE MEDIDA</t>
  </si>
  <si>
    <t>Relacione la unidad de medida por medio de la cual se determina la meta y el avance de la meta física, ejemplo hectáreas, número, porcentaje, metros, etcl</t>
  </si>
  <si>
    <t>(3) META FÍSICA ANUAL</t>
  </si>
  <si>
    <t>corresponde al valor de la meta anual programada para el año que se este evaluando, con relación a la acción estrategica o actividad registrado en la columna (1). Ejemplo: hectáreas reforestadas, microcuencas con plan de ordenamiento formulado, # de vertimientos reglamentados, etc.</t>
  </si>
  <si>
    <t xml:space="preserve">(4) AVANCE EJECUCIÓN DE LA META FISICA  </t>
  </si>
  <si>
    <t>Reporte el avance en la ejecución de la meta para el periodo evaluado en terminos de producto. Ejemplo: 35 hectáreas reforestadas, 3 microcuencas con plan de ordenamiento formulado, etc.  Si no se presenta avance diligenciar la matriz con ceros (0,0) y en ningún caso dejar celdas en blanco.</t>
  </si>
  <si>
    <t>(5) AVANCE DEL REZAGO DE LA META FISICA</t>
  </si>
  <si>
    <t xml:space="preserve">Corresponde al registro de avance en la ejecución de las metas del proyecto que no fueron cumplidas en la vigencia anterior. </t>
  </si>
  <si>
    <t xml:space="preserve">(6) PORCENTAJE DE AVANCE FISICO </t>
  </si>
  <si>
    <t>Calcule el porcentaje del avance anual de la Meta física programada. Divida el valor de la columna  (4) con el valor de la columna (3) y multiplique por 100. Si hay reporte de rezagos calcule el avance sumando el avance registrado en la respectiva vigencia con el avance de rezago, divida por el valor de la meta (columna 3) y multiplique por 100. 
El cálculo de avance de los niveles superiores debe afectarse por el valor de ponderación de la columna 14. Si no se presenta avance en el programa o proyecto, se deberá diligenciar la matriz con ceros (0,0) y en ningún caso dejar celdas en blanco.</t>
  </si>
  <si>
    <t xml:space="preserve">(7) DESCRIPCIÓN DEL AVANCE </t>
  </si>
  <si>
    <t>En esta columna se debe describir brevemente en que consiste el avance registrado</t>
  </si>
  <si>
    <t>Corresponde a la fecha de corte del reporte. Semestre I: 30 junio e informe anual: 31 diciembre</t>
  </si>
  <si>
    <t>Indique si la evidencia que se registra corresponde a contratos o convenios o acciones de funcionamiento.</t>
  </si>
  <si>
    <t>Si en la columna 9 seleccionó la opción funcionamiento, en esta columna debe indicar como se realizó.</t>
  </si>
  <si>
    <t>Si en la columna 9 seleccionó la opción contrato, en esta columna debe indicar si este se encuentra en ejecución, liquidado, con saldo a favor o en reserva.</t>
  </si>
  <si>
    <t>Si en la columna 9 seleccionó la opción contrato, en esta columna debe indicar el número del contrato o convenio.</t>
  </si>
  <si>
    <t xml:space="preserve"> (10) META FISICA DEL PAC</t>
  </si>
  <si>
    <t>Identifique el valor  (en numero) de la meta del plan de acción con relación a las acciones estrategicas o actividades registradas en la columna (1). Ejemplo: hectáreas reforestadas, microcuencas con plan de ordenamiento formulado, # de vertimientos reglamentados, etc.</t>
  </si>
  <si>
    <t>(11) AVANCE ACUMULADO DE LA META FISICA</t>
  </si>
  <si>
    <t>Reporte el avance acumulado de la meta física que se obtenga desde la aprobación del Plan de Acción, incluyendo el periodo evaluado.  Ejemplo 100 Ha reforestadas (2020), más 140 Ha reforestadas (2021), para un acumulado de 240 Ha (2020+2021)</t>
  </si>
  <si>
    <t>(12) PORCENTAJE DE AVANCE FISICO ACUMULADO</t>
  </si>
  <si>
    <t>Calcule el porcentaje del avance de la Meta física acumulada. Divida el valor de la columna  (11) con el valor de la columna (10) y multiplique por 100.</t>
  </si>
  <si>
    <t>PONDERACIONES  PAC 2020 -2023</t>
  </si>
  <si>
    <t>Relacione aquí las ponderaciones o pesos dados a cada componente del Plan de Acción teniendo en cuenta que:
•	La suma de todas las ponderaciones de las líneas estratégicas debe ser 100.
•	La suma de las ponderaciones de los programas asociados a cada línea estratégica debe ser 100.
•	La suma de las ponderaciones de los proyectos asociados a los programas debe ser 100
•	La suma de las ponderaciones de los objetivos asociados a los proyectos debe ser 100.
•	La suma de las ponderaciones de los productos asociados al Objetivo debe ser 100.
•	La suma de las ponderaciones de las actividades asociadas a los objetivos debe ser 100.</t>
  </si>
  <si>
    <t>Relacione aquí las ponderaciones o pesos dados a cada componente del Plan de Acción en la vigencia objeto del reporte, teniendo en cuenta que, si alguna actividad, proyecto o programa no tiene metas para la vigencia el valor establecido para esta debe distribuirse de forma equitativa entre los componentes que si tienen meta.</t>
  </si>
  <si>
    <t>(15) META FINANCIERA ANUAL</t>
  </si>
  <si>
    <t>Relacione aquí de acuerdo al plan de inversión vigente (incluye adiciones o modificaciones) los montos de inversión anual previstos para cada Linea, programa, proyecto y actividad. Recuerde que no se pueden relacionar productos para actividades que no tienen meta asociada para la vigencia objeto de reporte</t>
  </si>
  <si>
    <t xml:space="preserve">(16) AVANCE DE LOS RECURSOS COMPROMETIDOS (Recursos comprometidos periodo Evaluado) </t>
  </si>
  <si>
    <r>
      <t>Reporte el avance acumulado para el periodo evaluado de la ejecución de recursos comprometidos de la respectiva meta financiera anual programada en la columna (15).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</si>
  <si>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(17)  PORCENTAJE DEL AVANCE DE COMPROMISOS % (Periodo Evaluado)</t>
  </si>
  <si>
    <t xml:space="preserve">Calcule el porcentaje del avance anual de la Meta financiera programada. Divida el valor de la columna  (16) con el valor de la columna (15) y multiplique por 100. </t>
  </si>
  <si>
    <t>Reporte el avance acumulado para el periodo evaluado de la ejecución de recursos obligados de la respectiva meta financiera anual programada en la columna (15). Se entiende por obligación el monto adeudado producto del desarrollo de los compromisos adquiridos por el valor equivalente a los bienes recibidos, servicios prestados y demás exigibilidades pendientes de pago. (manual para el registro de la contabilidad presupuestal pública)</t>
  </si>
  <si>
    <t>(19) PORCENTAJE DE AVANCE DE LOS RECURSOS OBLIGADOS  (AVANCE FINANCIERO)</t>
  </si>
  <si>
    <t xml:space="preserve">Calcule el porcentaje de ejecución financiera anual . Divida el valor de la columna  (18) con el valor de la columna (15) y multiplique por 100. </t>
  </si>
  <si>
    <t xml:space="preserve">(20) RESERVA PRESUPUESTAL 2023 </t>
  </si>
  <si>
    <t>Una reserva presupuestal se genera cuando el compromiso es legalmente constituido pero cuyo objeto no fue cumplido dentro del año fiscal que termina y será pagada con cargo a la reserva que se constituye a más tardar el 20 de enero de la vigencia siguiente. Se obtiene de restar el valor de la columna 16 con la columna 18</t>
  </si>
  <si>
    <t>(21) RESERVA PRESUPUESTAL DEL 2020</t>
  </si>
  <si>
    <t>Corresponde a los recuros que no lograron pagarse en la vigencia 2020</t>
  </si>
  <si>
    <t>(21-A) OBLIGACIONES DE LA RESERVA 2020</t>
  </si>
  <si>
    <t>Corresponde a los recursos de la reserva 2020 que lograron obligarse en la vigencia 2021</t>
  </si>
  <si>
    <t>(22) RESERVA PRESUPUESTAL DEL 2021</t>
  </si>
  <si>
    <t>Corresponde a los recuros que no lograron pagarse en la vigencia 2021</t>
  </si>
  <si>
    <t>(22-A) OBLIGACIONES DE LA RESERVA 2021</t>
  </si>
  <si>
    <t>Corresponde a los recursos de la reserva 2020 que lograron obligarse en la vigencia 2022</t>
  </si>
  <si>
    <t>(23) RESERVA PRESUPUESTAL DEL 2022</t>
  </si>
  <si>
    <t>(23-A) OBLIGACIONES DE LA RESERVA 2022</t>
  </si>
  <si>
    <t>Corresponde a los recursos de la reserva 2020 que lograron obligarse en la vigencia 2023</t>
  </si>
  <si>
    <t>(23-B) PORCENTAJE DE AVANCE EJECUCIÓN DE LA RESERVA 2022</t>
  </si>
  <si>
    <t xml:space="preserve">Calcule el porcentaje de ejecuciónde la reserva dividiendo el valor de la columna  (23A) con el valor de la columna (23) y multiplique por 100. </t>
  </si>
  <si>
    <t>(24) META FINANCIERA DEL PLAN</t>
  </si>
  <si>
    <t>Relacione aquí de acuerdo al plan de inversión del Plan de Acción  los montos de inversión previstos para cada programa o proyecto para los cuatro años. (incluye adiciones o modificaciones).</t>
  </si>
  <si>
    <t>(25) AVANCE ACUMULADO DE LREC. COMPROMETIDOS</t>
  </si>
  <si>
    <t>Reporte el avance acumulado de recursos comprometidoss en la vigencia del Plan de Acción, desde su aprobación hasta el periodo del informe.  Ejemplo $100'000.000.oo (2020) + $150'000.000.oo (2021), da un acumulado de inversión del Plan de Acción de $250'000.000.oo</t>
  </si>
  <si>
    <t>(26) PORCENTAJE DE  AVANCE RECURSOS COMPROMETIDOS</t>
  </si>
  <si>
    <t>Calcule el porcentaje del avance acumulado de los recursos comprometidos respecto a la Meta financiera programada en el Plan de Acción. Divida el valor de la columna  (25) con el valor de la columna (24) y multiplique por 100.</t>
  </si>
  <si>
    <t>(27) AVANCE ACUMULADO DE LA EJECUCIÓN DE META
FINANCIERA (REC. OBLIGADO</t>
  </si>
  <si>
    <t>Reporte el avance acumulado de recursos obligados en la vigencia del Plan de Acción, desde su aprobación hasta el periodo del informe.  Ejemplo $100'000.000.oo (2020) + $150'000.000.oo (2021), da un acumulado de inversión del Plan de Acción de $250'000.000.oo</t>
  </si>
  <si>
    <t>(28) PORCENTAJE DE  AVANCE FINANCIERO ACUMULADO</t>
  </si>
  <si>
    <t>Calcule el porcentaje del avance acumulado de los recursos obligados respecto a la Meta financiera programada en el Plan de Acción. Divida el valor de la columna  (27) con el valor de la columna (24) y multiplique por 100.</t>
  </si>
  <si>
    <t>(29) OBSERVACIONES</t>
  </si>
  <si>
    <t>Realice las respectivas observaciones que sean necesarias, principalmente cuando se requiera hacer alguna precisión sobre el avance de las metas físicas y financieras..</t>
  </si>
  <si>
    <t>(30) PROGRAMA DE INVERSIÓN PUBLICA A LA QUE APORTA</t>
  </si>
  <si>
    <t>Indique a nivel de programa del PAC a cual de los 9 programas de inversión pública del sector ambiente le aporta.</t>
  </si>
  <si>
    <t>(31) IMG AL QUE  APORTA</t>
  </si>
  <si>
    <t>Indique el IMG al cual le aporta información de variables para su cálculo.</t>
  </si>
  <si>
    <t>(32) INDICADOR ODS AL QUE LE APORTA</t>
  </si>
  <si>
    <t>Especifique el indicador asociados al Objetivo de Desarrollo Sostenible al cual le aporta  información de variables para su cálculo.</t>
  </si>
  <si>
    <t xml:space="preserve">ANEXO NO. 3. MATRIZ DE REPORTE DE AVANCE DE INDICADORES MÍNIMOS DE GESTIÓN INCORPORADOS EN LA RESOLUCIÓN 667 DE 2016  </t>
  </si>
  <si>
    <t>PERIODO REPORTADO:</t>
  </si>
  <si>
    <t>N</t>
  </si>
  <si>
    <t>Indicador</t>
  </si>
  <si>
    <t>Acuerdo</t>
  </si>
  <si>
    <t>Programas</t>
  </si>
  <si>
    <t>Observaciones</t>
  </si>
  <si>
    <t>Acuerdo Consejo Directivo</t>
  </si>
  <si>
    <t>Programa o Proyecto asociado</t>
  </si>
  <si>
    <t>1.</t>
  </si>
  <si>
    <t>2.</t>
  </si>
  <si>
    <t>3.</t>
  </si>
  <si>
    <t>4.</t>
  </si>
  <si>
    <t>SIN INFORMACION</t>
  </si>
  <si>
    <t>5.</t>
  </si>
  <si>
    <t>6.</t>
  </si>
  <si>
    <t>7.</t>
  </si>
  <si>
    <t>8.</t>
  </si>
  <si>
    <t>9.</t>
  </si>
  <si>
    <t>10.</t>
  </si>
  <si>
    <t>NO APLICA</t>
  </si>
  <si>
    <t>11.</t>
  </si>
  <si>
    <t>12.</t>
  </si>
  <si>
    <t>13.</t>
  </si>
  <si>
    <t>N.A.</t>
  </si>
  <si>
    <t>14.</t>
  </si>
  <si>
    <t>15.</t>
  </si>
  <si>
    <t>16.</t>
  </si>
  <si>
    <t>17.</t>
  </si>
  <si>
    <t>18.</t>
  </si>
  <si>
    <t>19.</t>
  </si>
  <si>
    <t>20.</t>
  </si>
  <si>
    <t>21.</t>
  </si>
  <si>
    <t>22.</t>
  </si>
  <si>
    <t>23.</t>
  </si>
  <si>
    <t>24.</t>
  </si>
  <si>
    <t>25.</t>
  </si>
  <si>
    <t>26.</t>
  </si>
  <si>
    <t>27.</t>
  </si>
  <si>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</si>
  <si>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</si>
  <si>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</si>
  <si>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</si>
  <si>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</si>
  <si>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</si>
  <si>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</si>
  <si>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</si>
  <si>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</si>
  <si>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</si>
  <si>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r>
      <rPr>
        <b/>
        <sz val="10"/>
        <color theme="1"/>
        <rFont val="Calibri"/>
        <family val="2"/>
        <scheme val="minor"/>
      </rPr>
      <t>Línea Estratégica No. 1</t>
    </r>
    <r>
      <rPr>
        <sz val="10"/>
        <color theme="1"/>
        <rFont val="Calibri"/>
        <family val="2"/>
        <scheme val="minor"/>
      </rPr>
      <t xml:space="preserve">. Gestión para la Sostenibilidad del Recurso hídrico; 
</t>
    </r>
    <r>
      <rPr>
        <b/>
        <sz val="10"/>
        <color theme="1"/>
        <rFont val="Calibri"/>
        <family val="2"/>
        <scheme val="minor"/>
      </rPr>
      <t>Programa 1.1</t>
    </r>
    <r>
      <rPr>
        <sz val="10"/>
        <color theme="1"/>
        <rFont val="Calibri"/>
        <family val="2"/>
        <scheme val="minor"/>
      </rPr>
      <t xml:space="preserve">.:  GHI - Gestión Hidrica Integral </t>
    </r>
    <r>
      <rPr>
        <b/>
        <sz val="10"/>
        <color theme="1"/>
        <rFont val="Calibri"/>
        <family val="2"/>
        <scheme val="minor"/>
      </rPr>
      <t xml:space="preserve"> 
Proyecto 1.1.1.</t>
    </r>
    <r>
      <rPr>
        <sz val="10"/>
        <color theme="1"/>
        <rFont val="Calibri"/>
        <family val="2"/>
        <scheme val="minor"/>
      </rPr>
      <t xml:space="preserve">  Planificación del Recurso Hidrico 
</t>
    </r>
    <r>
      <rPr>
        <b/>
        <sz val="10"/>
        <color theme="1"/>
        <rFont val="Calibri"/>
        <family val="2"/>
        <scheme val="minor"/>
      </rPr>
      <t>Actividad: 1.1.1.1</t>
    </r>
    <r>
      <rPr>
        <sz val="10"/>
        <color theme="1"/>
        <rFont val="Calibri"/>
        <family val="2"/>
        <scheme val="minor"/>
      </rPr>
      <t xml:space="preserve"> - Acciones dirigidas a formular, ajustar o actualizar los planes de ordenación y manejo de cuencas (POMCA Ciénaga de Mallorquín, POMCA Complejo de humedales de la Vertiente Occidental del Río Magdalena y POMCA Arroyos Directos al Mar Caribe)
</t>
    </r>
    <r>
      <rPr>
        <b/>
        <sz val="10"/>
        <color theme="1"/>
        <rFont val="Calibri"/>
        <family val="2"/>
        <scheme val="minor"/>
      </rPr>
      <t>Actividad 1.1.1.3</t>
    </r>
    <r>
      <rPr>
        <sz val="10"/>
        <color theme="1"/>
        <rFont val="Calibri"/>
        <family val="2"/>
        <scheme val="minor"/>
      </rPr>
      <t xml:space="preserve"> - . Formular el Plan de manejo de la Ciénaga Uvero
</t>
    </r>
    <r>
      <rPr>
        <b/>
        <sz val="10"/>
        <color theme="1"/>
        <rFont val="Calibri"/>
        <family val="2"/>
        <scheme val="minor"/>
      </rPr>
      <t>Actividad 1.1.1.4.</t>
    </r>
    <r>
      <rPr>
        <sz val="10"/>
        <color theme="1"/>
        <rFont val="Calibri"/>
        <family val="2"/>
        <scheme val="minor"/>
      </rPr>
      <t>-  Formular el Plan de manejo del Acuífero Sabanalarga - Tubará</t>
    </r>
  </si>
  <si>
    <t xml:space="preserve">Observaciones </t>
  </si>
  <si>
    <t>Metodología de cálculo</t>
  </si>
  <si>
    <t>Para su cálculo, se diligencia la siguiente información:</t>
  </si>
  <si>
    <t>Número de cuencas objeto de POMCA en la jurisdicción de la CAR según la zonificación hidrográfica:</t>
  </si>
  <si>
    <t xml:space="preserve">* Canal del Dique
* Arroyos directos del Mar Caribe
* Ciénaga de Mallorquín
* Complejo de humedales de la Vertiente    Occidental del Río Magdalena
</t>
  </si>
  <si>
    <t>Número de cuencas objeto de POMCA priorizadas para el cuatrienio en la jurisdicción de la CAR:</t>
  </si>
  <si>
    <t xml:space="preserve">*Arroyos directos del Mar Caribe (En ordenación)
*  Complejo de humedales de la Vertiente    Occidental Rio Magdalena
* Ciénaga de Mallorquín
</t>
  </si>
  <si>
    <t>Número de cuencas con POMCAS aprobados, bajo el nuevo marco normativo (Decreto 1076 de 2015) a 31 de diciembre de 2023:</t>
  </si>
  <si>
    <t xml:space="preserve">*Cienaga de Mallorquín
*Canal del Dique
</t>
  </si>
  <si>
    <t>Meta de POMCAS aprobados para el cuatrienio 2024-2027 (número):</t>
  </si>
  <si>
    <t>*Arroyos directos del Mar Caribe
*Complejo de humedales de la Vertiente    Occidental del Río Magdalena
*Ciénaga de Mallorquín</t>
  </si>
  <si>
    <t>Meta de PMA aprobados para el cuatrienio 2024-2027 (número):</t>
  </si>
  <si>
    <t>PMA Sabanalarga - Tubará</t>
  </si>
  <si>
    <t xml:space="preserve">
Meta de PMM aprobados para el cuatrienio 2024-2027 (número):</t>
  </si>
  <si>
    <r>
      <t xml:space="preserve"> </t>
    </r>
    <r>
      <rPr>
        <sz val="10"/>
        <rFont val="Calibri"/>
        <family val="2"/>
        <scheme val="minor"/>
      </rPr>
      <t>PMM del Arroyo León - Acción Estratégica  1.1.2.1  : Reglamentación del Uso del Recurso Hídrico de los cuerpos de agua del Dpto del Atlántico (Vertimientos del Arroyo León)</t>
    </r>
  </si>
  <si>
    <t>Datos generales de los POMCAS:</t>
  </si>
  <si>
    <t>Cuencas, acuíferos y microcuencas objeto de planes en la jurisdicción de la CAR</t>
  </si>
  <si>
    <t>Tipo de Plan (a)</t>
  </si>
  <si>
    <t>Código (b)</t>
  </si>
  <si>
    <t>Nombre de Cuenca, Microcuenca, Acuífero</t>
  </si>
  <si>
    <t>Área (Has)</t>
  </si>
  <si>
    <t>POMCA</t>
  </si>
  <si>
    <t>Cuenca del complejo de humedades del Rio Magdalena</t>
  </si>
  <si>
    <t xml:space="preserve"> Aprobado/adoptado</t>
  </si>
  <si>
    <r>
      <t xml:space="preserve">
PLAN DE ORDENAMIENTO Y MANEJO DE LA CUENCA COMPLEJO DE HUMEDALES DE LA VERTIENTE OCCIDENTAL DEL RIO MAGDALENA, se informa, que durante el 2024 se logró su adopción mediante la </t>
    </r>
    <r>
      <rPr>
        <b/>
        <sz val="8"/>
        <color rgb="FF000000"/>
        <rFont val="Calibri"/>
        <family val="2"/>
        <scheme val="minor"/>
      </rPr>
      <t>Resolución No. 001020 del 30 de diciembre de 2024</t>
    </r>
    <r>
      <rPr>
        <sz val="8"/>
        <color rgb="FF000000"/>
        <rFont val="Calibri"/>
        <family val="2"/>
        <scheme val="minor"/>
      </rPr>
      <t>, expedida por esta Corporación.  De esta forma se convierte en un insumo más para garantizar la conservación y protección de esta cuenca y los ecosistemas asociados a la misma; además de ser parte de las determinantes ambientales para el ordenamiento territorial.</t>
    </r>
  </si>
  <si>
    <t>Cuenca Hidrógrafica de la Ciénaga de Mallorquín</t>
  </si>
  <si>
    <t>Aprobado</t>
  </si>
  <si>
    <r>
      <t xml:space="preserve">Resolución 72 del 27 Enero de 2017 </t>
    </r>
    <r>
      <rPr>
        <sz val="8"/>
        <color rgb="FF000000"/>
        <rFont val="Calibri"/>
        <family val="2"/>
        <scheme val="minor"/>
      </rPr>
      <t>(Se encuentra en proceso de revisión y ajuste)</t>
    </r>
    <r>
      <rPr>
        <b/>
        <sz val="8"/>
        <color rgb="FF000000"/>
        <rFont val="Calibri"/>
        <family val="2"/>
        <scheme val="minor"/>
      </rPr>
      <t>.</t>
    </r>
  </si>
  <si>
    <t>Cuencas Hidrográficas del Canal del Dique.</t>
  </si>
  <si>
    <r>
      <t xml:space="preserve">
POMCA Canal del Dique, este  POMCA se encuentra adoptado bajo</t>
    </r>
    <r>
      <rPr>
        <b/>
        <sz val="8"/>
        <color rgb="FFFF0000"/>
        <rFont val="Calibri"/>
        <family val="2"/>
        <scheme val="minor"/>
      </rPr>
      <t xml:space="preserve"> </t>
    </r>
    <r>
      <rPr>
        <b/>
        <sz val="8"/>
        <rFont val="Calibri"/>
        <family val="2"/>
        <scheme val="minor"/>
      </rPr>
      <t>el Acuerdo No.002 del 13 de Marzo del 2008 de la Comisión Conjunta del POMCA</t>
    </r>
    <r>
      <rPr>
        <b/>
        <sz val="8"/>
        <color rgb="FFFF0000"/>
        <rFont val="Calibri"/>
        <family val="2"/>
        <scheme val="minor"/>
      </rPr>
      <t xml:space="preserve"> </t>
    </r>
    <r>
      <rPr>
        <sz val="8"/>
        <color rgb="FF000000"/>
        <rFont val="Calibri"/>
        <family val="2"/>
        <scheme val="minor"/>
      </rPr>
      <t>y en la actualidad se encuentra en proceso de ajuste (Resolución 001 del 10 Noviembre del 2014 de la Comisió0n Conjunta)  para la inclusión del componente de gestión del riesgo de desastres.  La Cuenca del Canal del Dique, abarca la jurisdicción de los departamentos de Atlántico, Bolívar y Sucre, por lo que para el proceso de ajustes y adopción del instrumento, debe ser realizado por las Corporaciones C.R.A., CARDIQUE y CARSUCRE.  Para la fecha del presente informe, nos encontramos en fase de Formulación y desarrollando las consultas previas con las comunidades presentes en la Cuenca.</t>
    </r>
  </si>
  <si>
    <t>PMA</t>
  </si>
  <si>
    <t>Plan de Manejo de Acufiero de Sabanalarga - Tubará</t>
  </si>
  <si>
    <t>Formulación</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</si>
  <si>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</si>
  <si>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</si>
  <si>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</si>
  <si>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</si>
  <si>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</si>
  <si>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Año 1-2024</t>
  </si>
  <si>
    <t>Año 2025</t>
  </si>
  <si>
    <t>Año 2026</t>
  </si>
  <si>
    <t>Año 2027</t>
  </si>
  <si>
    <t>Sistema de acuifero de Sabanalarga- Tubara</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</si>
  <si>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</si>
  <si>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</si>
  <si>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</si>
  <si>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</si>
  <si>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</si>
  <si>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Año 1 - 2024</t>
  </si>
  <si>
    <t>Porcentaje promedio de avance anual en la formulación de los planes</t>
  </si>
  <si>
    <t>Tipo de Plan</t>
  </si>
  <si>
    <t>Ponderación regional</t>
  </si>
  <si>
    <t>Año 1 -2024</t>
  </si>
  <si>
    <t>POMCAS</t>
  </si>
  <si>
    <t>PMM</t>
  </si>
  <si>
    <t>PAFP t =</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</si>
  <si>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</si>
  <si>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</si>
  <si>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</si>
  <si>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</si>
  <si>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</si>
  <si>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</si>
  <si>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</si>
  <si>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C.R.A.</t>
  </si>
  <si>
    <t xml:space="preserve">Oficina Asesora de Planeación </t>
  </si>
  <si>
    <t>Nombre del funcionario</t>
  </si>
  <si>
    <t>Germán Escaf</t>
  </si>
  <si>
    <t xml:space="preserve">Jefe Oficina Asesora de Planeación </t>
  </si>
  <si>
    <t>gescaf@crautonoma.gov.co</t>
  </si>
  <si>
    <t>Dirección</t>
  </si>
  <si>
    <t>Calle 66 # 54- 43, esquina</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</si>
  <si>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</si>
  <si>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</si>
  <si>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</si>
  <si>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</si>
  <si>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</si>
  <si>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</si>
  <si>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</si>
  <si>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</si>
  <si>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</si>
  <si>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</si>
  <si>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</si>
  <si>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</si>
  <si>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</si>
  <si>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</si>
  <si>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</si>
  <si>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</si>
  <si>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</si>
  <si>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</si>
  <si>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</si>
  <si>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</si>
  <si>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</si>
  <si>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</si>
  <si>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</si>
  <si>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</si>
  <si>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</si>
  <si>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</si>
  <si>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</si>
  <si>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</si>
  <si>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</si>
  <si>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</si>
  <si>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</si>
  <si>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</si>
  <si>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</si>
  <si>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</si>
  <si>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</si>
  <si>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</si>
  <si>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</si>
  <si>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</si>
  <si>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</si>
  <si>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</si>
  <si>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</si>
  <si>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</si>
  <si>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</si>
  <si>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</si>
  <si>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</si>
  <si>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</si>
  <si>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</si>
  <si>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</si>
  <si>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</si>
  <si>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</si>
  <si>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</si>
  <si>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</si>
  <si>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</si>
  <si>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</si>
  <si>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</si>
  <si>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</si>
  <si>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</si>
  <si>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</si>
  <si>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</si>
  <si>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</si>
  <si>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</si>
  <si>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</si>
  <si>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</si>
  <si>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</si>
  <si>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</si>
  <si>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</si>
  <si>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</si>
  <si>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</si>
  <si>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</si>
  <si>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</si>
  <si>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</si>
  <si>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</si>
  <si>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</si>
  <si>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</si>
  <si>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</si>
  <si>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</si>
  <si>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</si>
  <si>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</si>
  <si>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</si>
  <si>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</si>
  <si>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</si>
  <si>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NO SE REPORTA</t>
  </si>
  <si>
    <t>Acuerdo No.0005 del 07 de mayo del 2024 del Consejo Directivo de la C.R.A. por medio del cual se aprueba el Plan de Acción Institucional 2024 - 2027 con la programación para el cumplimiento de este indicador.</t>
  </si>
  <si>
    <r>
      <rPr>
        <b/>
        <sz val="10"/>
        <color theme="1"/>
        <rFont val="Calibri"/>
        <family val="2"/>
        <scheme val="minor"/>
      </rPr>
      <t>Línea Estratégica No. 1</t>
    </r>
    <r>
      <rPr>
        <sz val="10"/>
        <color theme="1"/>
        <rFont val="Calibri"/>
        <family val="2"/>
        <scheme val="minor"/>
      </rPr>
      <t xml:space="preserve">. Gestión para la Sostenibilidad del Recurso hídrico; 
</t>
    </r>
    <r>
      <rPr>
        <b/>
        <sz val="10"/>
        <color theme="1"/>
        <rFont val="Calibri"/>
        <family val="2"/>
        <scheme val="minor"/>
      </rPr>
      <t>Programa 1.1</t>
    </r>
    <r>
      <rPr>
        <sz val="10"/>
        <color theme="1"/>
        <rFont val="Calibri"/>
        <family val="2"/>
        <scheme val="minor"/>
      </rPr>
      <t xml:space="preserve">.:  GHI - Gestión Hidrica Integral  
</t>
    </r>
    <r>
      <rPr>
        <b/>
        <sz val="10"/>
        <color theme="1"/>
        <rFont val="Calibri"/>
        <family val="2"/>
        <scheme val="minor"/>
      </rPr>
      <t>Proyecto 1.1.1</t>
    </r>
    <r>
      <rPr>
        <sz val="10"/>
        <color theme="1"/>
        <rFont val="Calibri"/>
        <family val="2"/>
        <scheme val="minor"/>
      </rPr>
      <t xml:space="preserve">.  Planificación del Recurso Hidrico 
</t>
    </r>
    <r>
      <rPr>
        <b/>
        <sz val="10"/>
        <color theme="1"/>
        <rFont val="Calibri"/>
        <family val="2"/>
        <scheme val="minor"/>
      </rPr>
      <t xml:space="preserve">Actividad: 1.1.1.7 - </t>
    </r>
    <r>
      <rPr>
        <sz val="10"/>
        <color theme="1"/>
        <rFont val="Calibri"/>
        <family val="2"/>
        <scheme val="minor"/>
      </rPr>
      <t xml:space="preserve">Adoptar los Planes de ordenamiento del recurso hídrico en las ciénagas priorizadas del departamento del Atlántico (PORH) </t>
    </r>
    <r>
      <rPr>
        <b/>
        <sz val="10"/>
        <color theme="1"/>
        <rFont val="Calibri"/>
        <family val="2"/>
        <scheme val="minor"/>
      </rPr>
      <t xml:space="preserve">
Actividad : 1.1.1.8 - </t>
    </r>
    <r>
      <rPr>
        <sz val="10"/>
        <color theme="1"/>
        <rFont val="Calibri"/>
        <family val="2"/>
        <scheme val="minor"/>
      </rPr>
      <t>Hacer seguimiento a los Planes de Ordenamiento del Recurso Hidrico (PORH) que se encuentren adoptados en el departamento del Atlántico</t>
    </r>
  </si>
  <si>
    <t>Número total de cuerpos de agua sujeto de reglamentación de planes de ordenamiento del recurso hídrico (PORH):</t>
  </si>
  <si>
    <t>Número total de Cuerpos de agua con plan de ordenamiento del recurso hídrico (PORH) priorizados por la Corporación para su adopción durante el cuatrienio 2024-2027:</t>
  </si>
  <si>
    <t>Cienaga de Convento y Totumo - Vigencias 2025 y 2026</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</si>
  <si>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</si>
  <si>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</si>
  <si>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</si>
  <si>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</si>
  <si>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</si>
  <si>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</si>
  <si>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</si>
  <si>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</si>
  <si>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</si>
  <si>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</si>
  <si>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OFICINA ASESORA DE PLANEACION</t>
  </si>
  <si>
    <t>Germán Escaf Payares</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</si>
  <si>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</si>
  <si>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</si>
  <si>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</si>
  <si>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</si>
  <si>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</si>
  <si>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</si>
  <si>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</si>
  <si>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</si>
  <si>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</si>
  <si>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</si>
  <si>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</si>
  <si>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</si>
  <si>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</si>
  <si>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</si>
  <si>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</si>
  <si>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</si>
  <si>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</si>
  <si>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</si>
  <si>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r>
      <rPr>
        <b/>
        <sz val="10"/>
        <color theme="1"/>
        <rFont val="Calibri"/>
        <family val="2"/>
        <scheme val="minor"/>
      </rPr>
      <t>Línea Estratégica No. 1.</t>
    </r>
    <r>
      <rPr>
        <sz val="10"/>
        <color theme="1"/>
        <rFont val="Calibri"/>
        <family val="2"/>
        <scheme val="minor"/>
      </rPr>
      <t xml:space="preserve"> Gestión para la Sostenibilidad del Recurso hídrico; 
</t>
    </r>
    <r>
      <rPr>
        <b/>
        <sz val="10"/>
        <color theme="1"/>
        <rFont val="Calibri"/>
        <family val="2"/>
        <scheme val="minor"/>
      </rPr>
      <t>Programa 1.2.</t>
    </r>
    <r>
      <rPr>
        <sz val="10"/>
        <color theme="1"/>
        <rFont val="Calibri"/>
        <family val="2"/>
        <scheme val="minor"/>
      </rPr>
      <t xml:space="preserve">:  HIDROVALOR: Agua de Calidad para la Vida
</t>
    </r>
    <r>
      <rPr>
        <b/>
        <sz val="10"/>
        <color theme="1"/>
        <rFont val="Calibri"/>
        <family val="2"/>
        <scheme val="minor"/>
      </rPr>
      <t>Proyecto 1.2.3</t>
    </r>
    <r>
      <rPr>
        <sz val="10"/>
        <color theme="1"/>
        <rFont val="Calibri"/>
        <family val="2"/>
        <scheme val="minor"/>
      </rPr>
      <t xml:space="preserve">.  Reducción de la Contaminación del Recurso Hidrico 
</t>
    </r>
    <r>
      <rPr>
        <b/>
        <sz val="10"/>
        <color theme="1"/>
        <rFont val="Calibri"/>
        <family val="2"/>
        <scheme val="minor"/>
      </rPr>
      <t>Actividad</t>
    </r>
    <r>
      <rPr>
        <sz val="10"/>
        <color theme="1"/>
        <rFont val="Calibri"/>
        <family val="2"/>
        <scheme val="minor"/>
      </rPr>
      <t xml:space="preserve">: </t>
    </r>
    <r>
      <rPr>
        <b/>
        <sz val="10"/>
        <color theme="1"/>
        <rFont val="Calibri"/>
        <family val="2"/>
        <scheme val="minor"/>
      </rPr>
      <t>1.2.3.1</t>
    </r>
    <r>
      <rPr>
        <sz val="10"/>
        <color theme="1"/>
        <rFont val="Calibri"/>
        <family val="2"/>
        <scheme val="minor"/>
      </rPr>
      <t xml:space="preserve"> -  Realizar seguimiento a los Planes de Saneamiento y Manejo de Vertimientos - PSMV
</t>
    </r>
    <r>
      <rPr>
        <b/>
        <sz val="10"/>
        <color theme="1"/>
        <rFont val="Calibri"/>
        <family val="2"/>
        <scheme val="minor"/>
      </rPr>
      <t>Actividad:</t>
    </r>
    <r>
      <rPr>
        <sz val="10"/>
        <color theme="1"/>
        <rFont val="Calibri"/>
        <family val="2"/>
        <scheme val="minor"/>
      </rPr>
      <t xml:space="preserve"> </t>
    </r>
    <r>
      <rPr>
        <b/>
        <sz val="10"/>
        <color theme="1"/>
        <rFont val="Calibri"/>
        <family val="2"/>
        <scheme val="minor"/>
      </rPr>
      <t xml:space="preserve">1.2.3.2 </t>
    </r>
    <r>
      <rPr>
        <sz val="10"/>
        <color theme="1"/>
        <rFont val="Calibri"/>
        <family val="2"/>
        <scheme val="minor"/>
      </rPr>
      <t>- Apoyar a los municipios de la jurisdicción de la C.R.A. en la gestión ambiental de sus aguas residuales</t>
    </r>
  </si>
  <si>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</si>
  <si>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</si>
  <si>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</si>
  <si>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</si>
  <si>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</si>
  <si>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</si>
  <si>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t>SUBDIRECCION DE GESTION AMBIENTAL</t>
  </si>
  <si>
    <t>Bleydy Coll</t>
  </si>
  <si>
    <t>SUBDIRECTORA</t>
  </si>
  <si>
    <t>jrestrepo@crautonoma.gov.co</t>
  </si>
  <si>
    <t>3686626 ext 111</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</si>
  <si>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</si>
  <si>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</si>
  <si>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</si>
  <si>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</si>
  <si>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</si>
  <si>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</si>
  <si>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</si>
  <si>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</si>
  <si>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</si>
  <si>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</si>
  <si>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</si>
  <si>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</si>
  <si>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</si>
  <si>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</si>
  <si>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cuerpos de agua sujeto de reglamentación del uso de las aguas:</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</si>
  <si>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</si>
  <si>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</si>
  <si>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</si>
  <si>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</si>
  <si>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</si>
  <si>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t>Oficina Asesora de Planeación</t>
  </si>
  <si>
    <t>Jefe de Oficina Asesora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</si>
  <si>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</si>
  <si>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</si>
  <si>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</si>
  <si>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</si>
  <si>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</si>
  <si>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</si>
  <si>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</si>
  <si>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</si>
  <si>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</si>
  <si>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</si>
  <si>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r>
      <rPr>
        <b/>
        <sz val="10"/>
        <color theme="1"/>
        <rFont val="Calibri"/>
        <family val="2"/>
        <scheme val="minor"/>
      </rPr>
      <t>Línea Estratégica No. 1.</t>
    </r>
    <r>
      <rPr>
        <sz val="10"/>
        <color theme="1"/>
        <rFont val="Calibri"/>
        <family val="2"/>
        <scheme val="minor"/>
      </rPr>
      <t xml:space="preserve"> Gestión para la Sostenibilidad del Recurso hídrico; 
</t>
    </r>
    <r>
      <rPr>
        <b/>
        <sz val="10"/>
        <color theme="1"/>
        <rFont val="Calibri"/>
        <family val="2"/>
        <scheme val="minor"/>
      </rPr>
      <t>Programa 1.2.</t>
    </r>
    <r>
      <rPr>
        <sz val="10"/>
        <color theme="1"/>
        <rFont val="Calibri"/>
        <family val="2"/>
        <scheme val="minor"/>
      </rPr>
      <t xml:space="preserve">:  HIDROVALOR: Agua de Calidad para la Vida
</t>
    </r>
    <r>
      <rPr>
        <b/>
        <sz val="10"/>
        <color theme="1"/>
        <rFont val="Calibri"/>
        <family val="2"/>
        <scheme val="minor"/>
      </rPr>
      <t xml:space="preserve">Proyecto 1.2.1:  </t>
    </r>
    <r>
      <rPr>
        <sz val="10"/>
        <color theme="1"/>
        <rFont val="Calibri"/>
        <family val="2"/>
        <scheme val="minor"/>
      </rPr>
      <t xml:space="preserve">Uso Eficiente y Sostenible del Agua
</t>
    </r>
    <r>
      <rPr>
        <b/>
        <sz val="10"/>
        <color theme="1"/>
        <rFont val="Calibri"/>
        <family val="2"/>
        <scheme val="minor"/>
      </rPr>
      <t>Actividades: 1.2.1.1-</t>
    </r>
    <r>
      <rPr>
        <sz val="10"/>
        <color theme="1"/>
        <rFont val="Calibri"/>
        <family val="2"/>
        <scheme val="minor"/>
      </rPr>
      <t xml:space="preserve">  Realizar seguimiento a la implementación de los Programas de Ahorro y Uso Eficiente del Agua (PUEAA) de los usuarios del Recurso Hídrico.</t>
    </r>
  </si>
  <si>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</si>
  <si>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</si>
  <si>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</si>
  <si>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</si>
  <si>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</si>
  <si>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t xml:space="preserve">SUBDIRECCIÓN DE GESTION AMBIENTAL </t>
  </si>
  <si>
    <t>Bleydy Coll Peña</t>
  </si>
  <si>
    <t>Subdirectora</t>
  </si>
  <si>
    <t>bcoll@crautonoma.gov.co
sdga@crautonoma.gov.co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</si>
  <si>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</si>
  <si>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</si>
  <si>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</si>
  <si>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</si>
  <si>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</si>
  <si>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</si>
  <si>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</si>
  <si>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</si>
  <si>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</si>
  <si>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</si>
  <si>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</si>
  <si>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</si>
  <si>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</si>
  <si>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</si>
  <si>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r>
      <rPr>
        <b/>
        <sz val="10"/>
        <color theme="1"/>
        <rFont val="Calibri"/>
        <family val="2"/>
        <scheme val="minor"/>
      </rPr>
      <t>Línea Estratégica No</t>
    </r>
    <r>
      <rPr>
        <sz val="10"/>
        <color theme="1"/>
        <rFont val="Calibri"/>
        <family val="2"/>
        <scheme val="minor"/>
      </rPr>
      <t xml:space="preserve">. 1. Gestión para la Sostenibilidad del Recurso hídrico; 
</t>
    </r>
    <r>
      <rPr>
        <b/>
        <sz val="10"/>
        <color theme="1"/>
        <rFont val="Calibri"/>
        <family val="2"/>
        <scheme val="minor"/>
      </rPr>
      <t>Programa 1.1</t>
    </r>
    <r>
      <rPr>
        <sz val="10"/>
        <color theme="1"/>
        <rFont val="Calibri"/>
        <family val="2"/>
        <scheme val="minor"/>
      </rPr>
      <t xml:space="preserve">.:  GHI - Gestión Hidrica Integral  
</t>
    </r>
    <r>
      <rPr>
        <b/>
        <sz val="10"/>
        <color theme="1"/>
        <rFont val="Calibri"/>
        <family val="2"/>
        <scheme val="minor"/>
      </rPr>
      <t>Proyecto 1.1.1</t>
    </r>
    <r>
      <rPr>
        <sz val="10"/>
        <color theme="1"/>
        <rFont val="Calibri"/>
        <family val="2"/>
        <scheme val="minor"/>
      </rPr>
      <t xml:space="preserve">.  Planificación del Recurso Hidrico 
</t>
    </r>
    <r>
      <rPr>
        <b/>
        <sz val="10"/>
        <color theme="1"/>
        <rFont val="Calibri"/>
        <family val="2"/>
        <scheme val="minor"/>
      </rPr>
      <t>Actividades:</t>
    </r>
    <r>
      <rPr>
        <sz val="10"/>
        <color theme="1"/>
        <rFont val="Calibri"/>
        <family val="2"/>
        <scheme val="minor"/>
      </rPr>
      <t xml:space="preserve"> 1.1.1.1 - 1.1.1.2 - 1.1.1.4</t>
    </r>
  </si>
  <si>
    <t>Reporte de ejecución de POMCAS, PMA y PMM</t>
  </si>
  <si>
    <t>Número / Año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</si>
  <si>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</si>
  <si>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</si>
  <si>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</si>
  <si>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</si>
  <si>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</si>
  <si>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</si>
  <si>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</si>
  <si>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</si>
  <si>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</si>
  <si>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</si>
  <si>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</si>
  <si>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</si>
  <si>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</si>
  <si>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</si>
  <si>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</si>
  <si>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</si>
  <si>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</si>
  <si>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</si>
  <si>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</si>
  <si>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Plan</t>
  </si>
  <si>
    <t>PPTO Inicial</t>
  </si>
  <si>
    <t>PPTO. Def.</t>
  </si>
  <si>
    <t>Compromisos</t>
  </si>
  <si>
    <t>Pagos</t>
  </si>
  <si>
    <t>1.1.1.1 Acciones dirigidas a formular o actualizar lo Planes de Ordenación y Manejo de cuencas (POMCA Ciénaga de Mallorquín, POMCA Complejo de Humedales de la Vertiente  Río Magdalena y POMCA Arroyos  directos al Mar Caribe)</t>
  </si>
  <si>
    <r>
      <t xml:space="preserve">En relación con el </t>
    </r>
    <r>
      <rPr>
        <b/>
        <sz val="8"/>
        <color theme="1"/>
        <rFont val="Arial"/>
        <family val="2"/>
      </rPr>
      <t>PLAN DE ORDENAMIENTO Y MANEJO DE LA CUENCA COMPLEJO DE HUMEDALES DE LA VERTIENTE OCCIDENTAL DEL RIO MAGDALENA</t>
    </r>
    <r>
      <rPr>
        <sz val="8"/>
        <color theme="1"/>
        <rFont val="Arial"/>
        <family val="2"/>
      </rPr>
      <t>, se informa, que durante el 2024 se logró su adopción mediante la Resolución No. 001020 del 30 de diciembre de 2024, expedida por esta Corporación.  De esta forma se convierte en un insumo más para garantizar la conservación y protección de esta cuenca y los ecosistemas asociados a la misma; además de ser parte de las determinantes ambientales para el ordenamiento territorial.</t>
    </r>
  </si>
  <si>
    <t>1.1.1.2. Hacer seguimiento a la ejecución de los componentes programáticos y de gestión del riesgo de los Planes de ordenación y manejo de cuencas (POMCA Ciénaga de Mallorquín, POMCA Canal del Dique, Río Magdalena)</t>
  </si>
  <si>
    <r>
      <t xml:space="preserve">Del seguimiento realizado al </t>
    </r>
    <r>
      <rPr>
        <b/>
        <sz val="8"/>
        <color theme="1"/>
        <rFont val="Arial"/>
        <family val="2"/>
      </rPr>
      <t>POMCA Ciénaga de Mallorquín y Arroyos Grande y León</t>
    </r>
    <r>
      <rPr>
        <sz val="8"/>
        <color theme="1"/>
        <rFont val="Arial"/>
        <family val="2"/>
      </rPr>
      <t xml:space="preserve">, durante la vigencia 2024 la Corporación Autónoma Regional del Atlántico evidenció la necesidad de revisar y ajustar el mencionado instrumento, proceso que inició, con la suscripción del contrato No.00466 del 2024, cuyo objeto es: REVISIÓN Y AJUSTE DEL PLAN DE ORDENACIÓN Y MANEJO DE LA CUENCA HIDROGRÁFICA DE LA CIÉNAGA DE MALLORQUÍN Y LOS ARROYOS GRANDE Y LEON EN EL DEPARTAMENTO DEL ATLANTICO.  Este Contrato fue iniciado el día 3 de octubre de 2024 y cuenta con una duración de Catorces (14) meses.  Durante la vigencia, se desarrollaron actividades de revisión del actual POMCA adoptado mediante Resolución No.0072 del 2017 expedida por la C.R.A., con la finalidad de tener los insumos necesarios para dar cumplimiento de las distintas fases conforme a lo señalado en el Decreto 1076 del 2015. </t>
    </r>
  </si>
  <si>
    <t>1.1.1.4.Formular el Plan de manejo del Acuífero Sabanalarga - Tubará</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</si>
  <si>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</si>
  <si>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</si>
  <si>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</si>
  <si>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</si>
  <si>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</si>
  <si>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</si>
  <si>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</si>
  <si>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</si>
  <si>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</si>
  <si>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</si>
  <si>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</si>
  <si>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</si>
  <si>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</si>
  <si>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</si>
  <si>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</si>
  <si>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</si>
  <si>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</si>
  <si>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</si>
  <si>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</si>
  <si>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</si>
  <si>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</si>
  <si>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</si>
  <si>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</si>
  <si>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</si>
  <si>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</si>
  <si>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</si>
  <si>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</si>
  <si>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</si>
  <si>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</si>
  <si>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</si>
  <si>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</si>
  <si>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</si>
  <si>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</si>
  <si>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r>
      <rPr>
        <b/>
        <sz val="10"/>
        <color theme="1"/>
        <rFont val="Calibri"/>
        <family val="2"/>
        <scheme val="minor"/>
      </rPr>
      <t xml:space="preserve">Línea Estratégica No. 5: Cambio Climático y Gestión del Riesgo
Programa  5.5 : </t>
    </r>
    <r>
      <rPr>
        <sz val="10"/>
        <color theme="1"/>
        <rFont val="Calibri"/>
        <family val="2"/>
        <scheme val="minor"/>
      </rPr>
      <t xml:space="preserve">Gestión del Riesgo y cambio Climático 
</t>
    </r>
    <r>
      <rPr>
        <b/>
        <sz val="10"/>
        <color theme="1"/>
        <rFont val="Calibri"/>
        <family val="2"/>
        <scheme val="minor"/>
      </rPr>
      <t>Proyecto: 5.5.1 :</t>
    </r>
    <r>
      <rPr>
        <sz val="10"/>
        <color theme="1"/>
        <rFont val="Calibri"/>
        <family val="2"/>
        <scheme val="minor"/>
      </rPr>
      <t xml:space="preserve"> Conocimiento y Adaptación a la Gestión del Riesgo
</t>
    </r>
    <r>
      <rPr>
        <b/>
        <sz val="10"/>
        <color theme="1"/>
        <rFont val="Calibri"/>
        <family val="2"/>
        <scheme val="minor"/>
      </rPr>
      <t xml:space="preserve">Actividad  5.5.1.2 - </t>
    </r>
    <r>
      <rPr>
        <sz val="10"/>
        <color theme="1"/>
        <rFont val="Calibri"/>
        <family val="2"/>
        <scheme val="minor"/>
      </rPr>
      <t xml:space="preserve"> Promover asesorías para el conocimiento y reducción del riesgo de desastres e incorporación de la gestión del riesgo en el ordenamiento territorial de los municipios
</t>
    </r>
    <r>
      <rPr>
        <b/>
        <sz val="10"/>
        <color theme="1"/>
        <rFont val="Calibri"/>
        <family val="2"/>
        <scheme val="minor"/>
      </rPr>
      <t>Actividad 5.5.1.3</t>
    </r>
    <r>
      <rPr>
        <sz val="10"/>
        <color theme="1"/>
        <rFont val="Calibri"/>
        <family val="2"/>
        <scheme val="minor"/>
      </rPr>
      <t xml:space="preserve"> - Acompañamiento Técnico en la formulación de proyectos relacionados con la acción climática en municipios de la jurisdicción de la C.R.A..</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</si>
  <si>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</si>
  <si>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</si>
  <si>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</si>
  <si>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</si>
  <si>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</si>
  <si>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</si>
  <si>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</si>
  <si>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 xml:space="preserve">Soledad, Galapa, Puerto Colombia, Santo Tomás, Sabanagrande, Polonuevo, Sabanalarga, Baranoa, Tubará, Palmar de Varela, Barranquilla, Usiacurí, Campo de la Cruz, Candelaria, Santa Lucía, Piojó , Juan de Acosta, Manatí, Repelón, Luruaco, Malambo, Ponedera,Súan. </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</si>
  <si>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</si>
  <si>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</si>
  <si>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</si>
  <si>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</si>
  <si>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</si>
  <si>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</si>
  <si>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</si>
  <si>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</si>
  <si>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</si>
  <si>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</si>
  <si>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</si>
  <si>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</si>
  <si>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</si>
  <si>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</si>
  <si>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</si>
  <si>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</si>
  <si>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</si>
  <si>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</si>
  <si>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</si>
  <si>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</si>
  <si>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</si>
  <si>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</si>
  <si>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</si>
  <si>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</si>
  <si>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</si>
  <si>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</si>
  <si>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 xml:space="preserve">Programa 2.1 </t>
    </r>
    <r>
      <rPr>
        <sz val="10"/>
        <color theme="1"/>
        <rFont val="Calibri"/>
        <family val="2"/>
        <scheme val="minor"/>
      </rPr>
      <t xml:space="preserve">  : Biodiversidad y Riqueza de los Ecosistemas Terrestres y marino Costeros
</t>
    </r>
    <r>
      <rPr>
        <b/>
        <sz val="10"/>
        <color theme="1"/>
        <rFont val="Calibri"/>
        <family val="2"/>
        <scheme val="minor"/>
      </rPr>
      <t xml:space="preserve">Proyecto 2.1.1 </t>
    </r>
    <r>
      <rPr>
        <sz val="10"/>
        <color theme="1"/>
        <rFont val="Calibri"/>
        <family val="2"/>
        <scheme val="minor"/>
      </rPr>
      <t xml:space="preserve">: Conservación de Ecosistemas Terrestres
</t>
    </r>
    <r>
      <rPr>
        <b/>
        <sz val="10"/>
        <color theme="1"/>
        <rFont val="Calibri"/>
        <family val="2"/>
        <scheme val="minor"/>
      </rPr>
      <t xml:space="preserve">Actividades: 2.1.1.2 </t>
    </r>
    <r>
      <rPr>
        <sz val="10"/>
        <color theme="1"/>
        <rFont val="Calibri"/>
        <family val="2"/>
        <scheme val="minor"/>
      </rPr>
      <t xml:space="preserve">-  Realizar intervención en suelos degradados del Departamento del Atlántico
</t>
    </r>
  </si>
  <si>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</si>
  <si>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</si>
  <si>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</si>
  <si>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</si>
  <si>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</si>
  <si>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</si>
  <si>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</si>
  <si>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</si>
  <si>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</si>
  <si>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</si>
  <si>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</si>
  <si>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</si>
  <si>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t xml:space="preserve">Recuperación o Rehabilitación </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</si>
  <si>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</si>
  <si>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</si>
  <si>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</si>
  <si>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</si>
  <si>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</si>
  <si>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</si>
  <si>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</si>
  <si>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</si>
  <si>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</si>
  <si>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</si>
  <si>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</si>
  <si>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</si>
  <si>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</si>
  <si>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</si>
  <si>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</si>
  <si>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</si>
  <si>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</si>
  <si>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</si>
  <si>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</si>
  <si>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</si>
  <si>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</si>
  <si>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</si>
  <si>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</si>
  <si>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 xml:space="preserve">Programa 2.2 </t>
    </r>
    <r>
      <rPr>
        <sz val="10"/>
        <color theme="1"/>
        <rFont val="Calibri"/>
        <family val="2"/>
        <scheme val="minor"/>
      </rPr>
      <t xml:space="preserve">  : Estrategias Regionales de Conservación 
</t>
    </r>
    <r>
      <rPr>
        <b/>
        <sz val="10"/>
        <color theme="1"/>
        <rFont val="Calibri"/>
        <family val="2"/>
        <scheme val="minor"/>
      </rPr>
      <t>Proyecto 2.2.1</t>
    </r>
    <r>
      <rPr>
        <sz val="10"/>
        <color theme="1"/>
        <rFont val="Calibri"/>
        <family val="2"/>
        <scheme val="minor"/>
      </rPr>
      <t xml:space="preserve"> : Áreas Protegidas
</t>
    </r>
    <r>
      <rPr>
        <b/>
        <sz val="10"/>
        <color theme="1"/>
        <rFont val="Calibri"/>
        <family val="2"/>
        <scheme val="minor"/>
      </rPr>
      <t xml:space="preserve">Actividades: 2.2.1.1: </t>
    </r>
    <r>
      <rPr>
        <sz val="10"/>
        <color theme="1"/>
        <rFont val="Calibri"/>
        <family val="2"/>
        <scheme val="minor"/>
      </rPr>
      <t>. Declarar, ampliar, homologar o recategorizar áreas protegidas en el departamento inscritas ante el RUNAP.</t>
    </r>
  </si>
  <si>
    <t>Continentales</t>
  </si>
  <si>
    <t>Marinas, costeras  e Insulares (*)</t>
  </si>
  <si>
    <t>Meta de áreas protegidas regionales a ser homologadas o recategorizadas, e inscritas en el RUNAP en el cuatrienio (ha)</t>
  </si>
  <si>
    <t>Meta total de nuevas áreas protegidas a ser inscritas en el RUNAP en el cuatrienio (ha) 2024-2027.</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</si>
  <si>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</si>
  <si>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</si>
  <si>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</si>
  <si>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Año 2-2025</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</si>
  <si>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</si>
  <si>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</si>
  <si>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</si>
  <si>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</si>
  <si>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</si>
  <si>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</si>
  <si>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</si>
  <si>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</si>
  <si>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</si>
  <si>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</si>
  <si>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</si>
  <si>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</si>
  <si>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</si>
  <si>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</si>
  <si>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</si>
  <si>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</si>
  <si>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</si>
  <si>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</si>
  <si>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</si>
  <si>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</si>
  <si>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</si>
  <si>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</si>
  <si>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 xml:space="preserve">CERRO LA VIEJA </t>
  </si>
  <si>
    <t>Continental</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</si>
  <si>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</si>
  <si>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</si>
  <si>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</si>
  <si>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</si>
  <si>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</si>
  <si>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</si>
  <si>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</si>
  <si>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</si>
  <si>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t>Subdirección Gestión Ambiental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</si>
  <si>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</si>
  <si>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</si>
  <si>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</si>
  <si>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</si>
  <si>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</si>
  <si>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</si>
  <si>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</si>
  <si>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</si>
  <si>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</si>
  <si>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</si>
  <si>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</si>
  <si>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</si>
  <si>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</si>
  <si>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</si>
  <si>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</si>
  <si>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</si>
  <si>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</si>
  <si>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NO APLICA PARA LA JURISDICCIÓN DE LA C.R.A.</t>
  </si>
  <si>
    <t>Reporte de avance</t>
  </si>
  <si>
    <t>Etapa</t>
  </si>
  <si>
    <t>Año 0 (2019) (*)</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</si>
  <si>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</si>
  <si>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</si>
  <si>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</si>
  <si>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</si>
  <si>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</si>
  <si>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</si>
  <si>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</si>
  <si>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</si>
  <si>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</si>
  <si>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</si>
  <si>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</si>
  <si>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</si>
  <si>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</si>
  <si>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</si>
  <si>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</si>
  <si>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</si>
  <si>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</si>
  <si>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</si>
  <si>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</si>
  <si>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</si>
  <si>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</si>
  <si>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</si>
  <si>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Ponderaciones de referencia</t>
  </si>
  <si>
    <t>Descripción</t>
  </si>
  <si>
    <t>Ponderación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</si>
  <si>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</si>
  <si>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</si>
  <si>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Resolución No.859 del 2018 de la C.R.A</t>
  </si>
  <si>
    <t>Aprestamiento</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</si>
  <si>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</si>
  <si>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</si>
  <si>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</si>
  <si>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</si>
  <si>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</si>
  <si>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</si>
  <si>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</si>
  <si>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</si>
  <si>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Socialización versión premiminar de los POF
Armonización de los POF con actores locales y regionales
Edición y ajustes de los POF</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</si>
  <si>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</si>
  <si>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</si>
  <si>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</si>
  <si>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</si>
  <si>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</si>
  <si>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</si>
  <si>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</si>
  <si>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</si>
  <si>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</si>
  <si>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</si>
  <si>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</si>
  <si>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</si>
  <si>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</si>
  <si>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</si>
  <si>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</si>
  <si>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</si>
  <si>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</si>
  <si>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</si>
  <si>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</si>
  <si>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</si>
  <si>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</si>
  <si>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</si>
  <si>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</si>
  <si>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</si>
  <si>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</si>
  <si>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</si>
  <si>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</si>
  <si>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</si>
  <si>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t>Oficina Asesorta de Planeación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</si>
  <si>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</si>
  <si>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</si>
  <si>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</si>
  <si>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</si>
  <si>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</si>
  <si>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</si>
  <si>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</si>
  <si>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</si>
  <si>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</si>
  <si>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</si>
  <si>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</si>
  <si>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</si>
  <si>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</si>
  <si>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</si>
  <si>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</si>
  <si>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</si>
  <si>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</si>
  <si>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</si>
  <si>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</si>
  <si>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</si>
  <si>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</si>
  <si>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</si>
  <si>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</si>
  <si>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</si>
  <si>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</si>
  <si>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</si>
  <si>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 xml:space="preserve">
-Parque Natural Regional - PNR LOS ROSALES, Luruaco.
-Distrito Regional de Manejo Integrado Banco Totumo Bijibana, Repelón.
-Reserva Forestal Protectora El Palomar ubicada en el municipio de Piojó.
-Distrito Regional de Manejo Integrado DRMI Palmar del Titi, ubicada ente los municipios de Luruaco y Piojó.</t>
  </si>
  <si>
    <t>DMI</t>
  </si>
  <si>
    <t xml:space="preserve"> 2.2.1.3. Ejecutar acciones contempladas en los planes de manejo de las áreas protegidas declaradas en el departamento</t>
  </si>
  <si>
    <t>Cuanto más cercano a cien por ciento, mayores son las acciones que la autoridad ambiental realiza para la ejecución de los planes de manejo de las áreas protegidas que están a cargo de la Corporación Autónoma Regional.</t>
  </si>
  <si>
    <t>SUBDIRECCIÓN DE GESTION AMBIENTAL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</si>
  <si>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</si>
  <si>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</si>
  <si>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</si>
  <si>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</si>
  <si>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</si>
  <si>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</si>
  <si>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</si>
  <si>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</si>
  <si>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</si>
  <si>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</si>
  <si>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</si>
  <si>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</si>
  <si>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</si>
  <si>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</si>
  <si>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</si>
  <si>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Programa 2.1:  Biodiversidad y riqueza de los Ecosistemas Terrestres y Marino Costeros</t>
    </r>
    <r>
      <rPr>
        <sz val="10"/>
        <color theme="1"/>
        <rFont val="Calibri"/>
        <family val="2"/>
        <scheme val="minor"/>
      </rPr>
      <t xml:space="preserve">
</t>
    </r>
    <r>
      <rPr>
        <b/>
        <sz val="10"/>
        <color theme="1"/>
        <rFont val="Calibri"/>
        <family val="2"/>
        <scheme val="minor"/>
      </rPr>
      <t xml:space="preserve">Proyecto 2.1.1. </t>
    </r>
    <r>
      <rPr>
        <sz val="10"/>
        <color theme="1"/>
        <rFont val="Calibri"/>
        <family val="2"/>
        <scheme val="minor"/>
      </rPr>
      <t xml:space="preserve">Conservación de Ecosistemas Terrestres
</t>
    </r>
    <r>
      <rPr>
        <b/>
        <sz val="10"/>
        <color theme="1"/>
        <rFont val="Calibri"/>
        <family val="2"/>
        <scheme val="minor"/>
      </rPr>
      <t>Actividad 2.1.1.5:</t>
    </r>
    <r>
      <rPr>
        <sz val="10"/>
        <color theme="1"/>
        <rFont val="Calibri"/>
        <family val="2"/>
        <scheme val="minor"/>
      </rPr>
      <t xml:space="preserve"> Implementar medidas de manejo y conservación de especies amenazadas en el departamento del Atlántico
Meta (A) : Un (1) documento técnico formulado con medidas de manejo y conservación de una especie amenazada identificada en el departamento 
Meta (B):  Cincuenta por ciento (50%) de avance en la implementación del documento técnico de medidas de manejo y conservación de especies amenazadas identificadas en el departamento 
</t>
    </r>
    <r>
      <rPr>
        <b/>
        <sz val="10"/>
        <color theme="1"/>
        <rFont val="Calibri"/>
        <family val="2"/>
        <scheme val="minor"/>
      </rPr>
      <t>Nota</t>
    </r>
    <r>
      <rPr>
        <sz val="10"/>
        <color theme="1"/>
        <rFont val="Calibri"/>
        <family val="2"/>
        <scheme val="minor"/>
      </rPr>
      <t>:</t>
    </r>
    <r>
      <rPr>
        <b/>
        <sz val="10"/>
        <color theme="1"/>
        <rFont val="Calibri"/>
        <family val="2"/>
        <scheme val="minor"/>
      </rPr>
      <t xml:space="preserve"> No se reporta en la vigencia 2024 dado que se tiene programación de ejecución a partir de la vigencia 2025</t>
    </r>
  </si>
  <si>
    <r>
      <rPr>
        <sz val="8"/>
        <color theme="1"/>
        <rFont val="Calibri"/>
        <family val="2"/>
        <scheme val="minor"/>
      </rPr>
      <t xml:space="preserve"> Según la priorización de las especies amenazadas en la jurisdicción, reportada de acuerdo  a Resolución No. 0346 del 24 de Marzo 2022 se tiene: 
</t>
    </r>
    <r>
      <rPr>
        <b/>
        <sz val="8"/>
        <color rgb="FFC00000"/>
        <rFont val="Calibri"/>
        <family val="2"/>
        <scheme val="minor"/>
      </rPr>
      <t>Fauna Continental</t>
    </r>
    <r>
      <rPr>
        <sz val="8"/>
        <color theme="1"/>
        <rFont val="Calibri"/>
        <family val="2"/>
        <scheme val="minor"/>
      </rPr>
      <t xml:space="preserve">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t>
    </r>
    <r>
      <rPr>
        <b/>
        <sz val="8"/>
        <color rgb="FFC00000"/>
        <rFont val="Calibri"/>
        <family val="2"/>
        <scheme val="minor"/>
      </rPr>
      <t xml:space="preserve"> Fauna Marina</t>
    </r>
    <r>
      <rPr>
        <sz val="8"/>
        <color theme="1"/>
        <rFont val="Calibri"/>
        <family val="2"/>
        <scheme val="minor"/>
      </rPr>
      <t xml:space="preserve">
• Cocodrilo americano (Crocodylus acutus)
• Tortuga del río Magdalena (Podocnemis lewyana)
</t>
    </r>
    <r>
      <rPr>
        <b/>
        <sz val="8"/>
        <color rgb="FFC00000"/>
        <rFont val="Calibri"/>
        <family val="2"/>
        <scheme val="minor"/>
      </rPr>
      <t>Flora Continental</t>
    </r>
    <r>
      <rPr>
        <sz val="8"/>
        <color theme="1"/>
        <rFont val="Calibri"/>
        <family val="2"/>
        <scheme val="minor"/>
      </rPr>
      <t xml:space="preserve">
• Carreto (Aspidosperma  polyneuron)  
• Ceiba roja (Pachira quinata) 
• Cedro (Cedrela odorata) 
• Guayacan (Bulnesia arborea)
• Guayacan de cartagena (Guaiacum officinale)</t>
    </r>
    <r>
      <rPr>
        <sz val="10"/>
        <color theme="1"/>
        <rFont val="Calibri"/>
        <family val="2"/>
        <scheme val="minor"/>
      </rPr>
      <t xml:space="preserve">
</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</si>
  <si>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</si>
  <si>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</si>
  <si>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</si>
  <si>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</si>
  <si>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</si>
  <si>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</si>
  <si>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</si>
  <si>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</si>
  <si>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</si>
  <si>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</si>
  <si>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</si>
  <si>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</si>
  <si>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</si>
  <si>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</si>
  <si>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</si>
  <si>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</si>
  <si>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</si>
  <si>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 xml:space="preserve">2.1.1.5: Implementar medidas de manejo y conservación de especies amenazadas en el departamento del Atlántico.
Meta (A) : Un (1) documento técnico formulado con medidas de manejo y conservación de una especie amenazada identificada en el departamento </t>
  </si>
  <si>
    <t xml:space="preserve">2.1.1.5: Implementar medidas de manejo y conservación de especies amenazadas en el departamento del Atlántico.
Meta (B):  Cincuenta por ciento (50%) de avance en la implementación del documento técnico de medidas de manejo y conservación de especies amenazadas identificadas en el departamento 
</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</si>
  <si>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</si>
  <si>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Subdirección Gestión ambiental</t>
  </si>
  <si>
    <t>Sundirectora</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</si>
  <si>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</si>
  <si>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</si>
  <si>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</si>
  <si>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</si>
  <si>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</si>
  <si>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</si>
  <si>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</si>
  <si>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</si>
  <si>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</si>
  <si>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</si>
  <si>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</si>
  <si>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</si>
  <si>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</si>
  <si>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</si>
  <si>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</si>
  <si>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</si>
  <si>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</si>
  <si>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</si>
  <si>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</si>
  <si>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</si>
  <si>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</si>
  <si>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</si>
  <si>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</si>
  <si>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</si>
  <si>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</si>
  <si>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</si>
  <si>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</si>
  <si>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Programa 2.1</t>
    </r>
    <r>
      <rPr>
        <sz val="10"/>
        <color theme="1"/>
        <rFont val="Calibri"/>
        <family val="2"/>
        <scheme val="minor"/>
      </rPr>
      <t xml:space="preserve">:  Biodiversidad y riqueza de los Ecosistemas Terrestres y Marino Costeros
</t>
    </r>
    <r>
      <rPr>
        <b/>
        <sz val="10"/>
        <color theme="1"/>
        <rFont val="Calibri"/>
        <family val="2"/>
        <scheme val="minor"/>
      </rPr>
      <t>Proyecto 2.1.1.</t>
    </r>
    <r>
      <rPr>
        <sz val="10"/>
        <color theme="1"/>
        <rFont val="Calibri"/>
        <family val="2"/>
        <scheme val="minor"/>
      </rPr>
      <t xml:space="preserve"> Conservación de Ecosistemas Terrestres
</t>
    </r>
    <r>
      <rPr>
        <b/>
        <sz val="10"/>
        <color theme="1"/>
        <rFont val="Calibri"/>
        <family val="2"/>
        <scheme val="minor"/>
      </rPr>
      <t>Actividad 2.1.1.3</t>
    </r>
    <r>
      <rPr>
        <sz val="10"/>
        <color theme="1"/>
        <rFont val="Calibri"/>
        <family val="2"/>
        <scheme val="minor"/>
      </rPr>
      <t xml:space="preserve">.  Identificar y monitorear especies exóticas invasoras en el departamento del Atlántico
</t>
    </r>
    <r>
      <rPr>
        <b/>
        <sz val="10"/>
        <color theme="1"/>
        <rFont val="Calibri"/>
        <family val="2"/>
        <scheme val="minor"/>
      </rPr>
      <t>Actividad 2.1.1.4</t>
    </r>
    <r>
      <rPr>
        <sz val="10"/>
        <color theme="1"/>
        <rFont val="Calibri"/>
        <family val="2"/>
        <scheme val="minor"/>
      </rPr>
      <t xml:space="preserve">. Implementar medidas de prevención, control y manejo de las principales especies exóticas invasoras del departamento
</t>
    </r>
  </si>
  <si>
    <r>
      <t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t>
    </r>
    <r>
      <rPr>
        <sz val="8"/>
        <color theme="1"/>
        <rFont val="Calibri"/>
        <family val="2"/>
        <scheme val="minor"/>
      </rPr>
      <t xml:space="preserve">Estas 6 especies son: 
</t>
    </r>
    <r>
      <rPr>
        <b/>
        <sz val="8"/>
        <color rgb="FFC00000"/>
        <rFont val="Calibri"/>
        <family val="2"/>
        <scheme val="minor"/>
      </rPr>
      <t>Flora continental:</t>
    </r>
    <r>
      <rPr>
        <sz val="8"/>
        <color theme="1"/>
        <rFont val="Calibri"/>
        <family val="2"/>
        <scheme val="minor"/>
      </rPr>
      <t xml:space="preserve">
• Buchon (Eichornia crassipes)
</t>
    </r>
    <r>
      <rPr>
        <b/>
        <sz val="8"/>
        <color rgb="FFC00000"/>
        <rFont val="Calibri"/>
        <family val="2"/>
        <scheme val="minor"/>
      </rPr>
      <t>Fauna continental:</t>
    </r>
    <r>
      <rPr>
        <sz val="8"/>
        <color theme="1"/>
        <rFont val="Calibri"/>
        <family val="2"/>
        <scheme val="minor"/>
      </rPr>
      <t xml:space="preserve">
• Caracol Gigante Africano (Achatina áulica); 
• Rana Coqui (Eleutherodactylus coquí),
</t>
    </r>
    <r>
      <rPr>
        <b/>
        <sz val="8"/>
        <color rgb="FFC00000"/>
        <rFont val="Calibri"/>
        <family val="2"/>
        <scheme val="minor"/>
      </rPr>
      <t>Fauna Marina:</t>
    </r>
    <r>
      <rPr>
        <sz val="8"/>
        <color theme="1"/>
        <rFont val="Calibri"/>
        <family val="2"/>
        <scheme val="minor"/>
      </rPr>
      <t xml:space="preserve">
• Camarón de Asia (Penaeus monodon);
• Tilapia negra (Oreochromis mossaambicus);
• Pez Leon (Pterois volitans) </t>
    </r>
    <r>
      <rPr>
        <sz val="10"/>
        <color theme="1"/>
        <rFont val="Calibri"/>
        <family val="2"/>
        <scheme val="minor"/>
      </rPr>
      <t xml:space="preserve">
</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</si>
  <si>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</si>
  <si>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</si>
  <si>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</si>
  <si>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</si>
  <si>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</si>
  <si>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</si>
  <si>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</si>
  <si>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Continental y Marina</t>
  </si>
  <si>
    <t>2.1.1.4. Implementar medidas de prevención, control y manejo de las principales especies exoticas invasoras del departamento</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</si>
  <si>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</si>
  <si>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</si>
  <si>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</si>
  <si>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</si>
  <si>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</si>
  <si>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</si>
  <si>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</si>
  <si>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</si>
  <si>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</si>
  <si>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</si>
  <si>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</si>
  <si>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</si>
  <si>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</si>
  <si>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</si>
  <si>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</si>
  <si>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</si>
  <si>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</si>
  <si>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</si>
  <si>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</si>
  <si>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</si>
  <si>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</si>
  <si>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</si>
  <si>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</si>
  <si>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</si>
  <si>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</si>
  <si>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</si>
  <si>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</si>
  <si>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</si>
  <si>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</si>
  <si>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r>
      <rPr>
        <b/>
        <sz val="9"/>
        <color rgb="FF000000"/>
        <rFont val="Calibri"/>
        <family val="2"/>
        <scheme val="minor"/>
      </rPr>
      <t>Actividades: 2.1.1.1</t>
    </r>
    <r>
      <rPr>
        <sz val="9"/>
        <color rgb="FF000000"/>
        <rFont val="Calibri"/>
        <family val="2"/>
        <scheme val="minor"/>
      </rPr>
      <t xml:space="preserve">. Restaurar, conservar, recuperar o rehabilitar ecosistemas terrestres en el Departamento del Atlántico de acuerdo al estado de conservación del Ecosistema
</t>
    </r>
    <r>
      <rPr>
        <b/>
        <sz val="9"/>
        <color rgb="FF000000"/>
        <rFont val="Calibri"/>
        <family val="2"/>
        <scheme val="minor"/>
      </rPr>
      <t>Meta (A)</t>
    </r>
    <r>
      <rPr>
        <sz val="9"/>
        <color rgb="FF000000"/>
        <rFont val="Calibri"/>
        <family val="2"/>
        <scheme val="minor"/>
      </rPr>
      <t xml:space="preserve"> : Ciento veinte (120) hectáreas de ecosistemas restauradas, recuperadas o rehabilitadas en el Departamento del Atlántico</t>
    </r>
  </si>
  <si>
    <t xml:space="preserve">Restauración, Rehabilitación y Reforestación </t>
  </si>
  <si>
    <r>
      <rPr>
        <b/>
        <sz val="9"/>
        <color rgb="FF000000"/>
        <rFont val="Calibri"/>
        <family val="2"/>
        <scheme val="minor"/>
      </rPr>
      <t>Actividades: 2.1.1.1</t>
    </r>
    <r>
      <rPr>
        <sz val="9"/>
        <color rgb="FF000000"/>
        <rFont val="Calibri"/>
        <family val="2"/>
        <scheme val="minor"/>
      </rPr>
      <t xml:space="preserve">. Restaurar, conservar, recuperar o rehabilitar ecosistemas terrestres en el Departamento del Atlántico de acuerdo al estado de conservación del Ecosistema
</t>
    </r>
    <r>
      <rPr>
        <b/>
        <sz val="9"/>
        <color rgb="FF000000"/>
        <rFont val="Calibri"/>
        <family val="2"/>
        <scheme val="minor"/>
      </rPr>
      <t>Meta (B):</t>
    </r>
    <r>
      <rPr>
        <sz val="9"/>
        <color rgb="FF000000"/>
        <rFont val="Calibri"/>
        <family val="2"/>
        <scheme val="minor"/>
      </rPr>
      <t xml:space="preserve"> Cuatro (4) proyectos de restauración y conservación de  áreas ambientales estratégicas para aumentar la capacidad de adaptación al cambio climático y la resiliencia ecosistémica del departamento, estructurados, formulados y presentados en convocatorias nacionales.</t>
    </r>
  </si>
  <si>
    <t>Restauración</t>
  </si>
  <si>
    <t>Cuanto más cercano a cien por ciento, mayor es el cumplimiento de las metas establecidas por la Corporación en materia de restauración, rehabilitación y reforestación.</t>
  </si>
  <si>
    <t>OFICINA ASESORA DE PLANEACIÓN</t>
  </si>
  <si>
    <t>GERMÁN ESCAF PAYARES</t>
  </si>
  <si>
    <t>JEFE OFICINA ASESORA</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</si>
  <si>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</si>
  <si>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</si>
  <si>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</si>
  <si>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</si>
  <si>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</si>
  <si>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</si>
  <si>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</si>
  <si>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</si>
  <si>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</si>
  <si>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</si>
  <si>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</si>
  <si>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</si>
  <si>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</si>
  <si>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</si>
  <si>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</si>
  <si>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</si>
  <si>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</si>
  <si>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</si>
  <si>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</si>
  <si>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 xml:space="preserve">Programa 2.1  </t>
    </r>
    <r>
      <rPr>
        <sz val="10"/>
        <color theme="1"/>
        <rFont val="Calibri"/>
        <family val="2"/>
        <scheme val="minor"/>
      </rPr>
      <t xml:space="preserve"> : Biodiversidad y Riqueza de los Ecosistemas Terrestres y marino Costeros
</t>
    </r>
    <r>
      <rPr>
        <b/>
        <sz val="10"/>
        <color theme="1"/>
        <rFont val="Calibri"/>
        <family val="2"/>
        <scheme val="minor"/>
      </rPr>
      <t xml:space="preserve">Proyecto 2.1.3: </t>
    </r>
    <r>
      <rPr>
        <sz val="10"/>
        <color theme="1"/>
        <rFont val="Calibri"/>
        <family val="2"/>
        <scheme val="minor"/>
      </rPr>
      <t xml:space="preserve">Conservación de Ecosistemas Marinos y Costeros
</t>
    </r>
    <r>
      <rPr>
        <b/>
        <sz val="10"/>
        <color theme="1"/>
        <rFont val="Calibri"/>
        <family val="2"/>
        <scheme val="minor"/>
      </rPr>
      <t>Actividades 2.1.3.1</t>
    </r>
    <r>
      <rPr>
        <sz val="10"/>
        <color theme="1"/>
        <rFont val="Calibri"/>
        <family val="2"/>
        <scheme val="minor"/>
      </rPr>
      <t xml:space="preserve">.: Implementar acciones que promuevan la conservación de la biodiversidad Marino-costera en el departamento del Atlántico
</t>
    </r>
    <r>
      <rPr>
        <b/>
        <sz val="10"/>
        <color theme="1"/>
        <rFont val="Calibri"/>
        <family val="2"/>
        <scheme val="minor"/>
      </rPr>
      <t>Actividades 2.1.3.2.:</t>
    </r>
    <r>
      <rPr>
        <sz val="10"/>
        <color theme="1"/>
        <rFont val="Calibri"/>
        <family val="2"/>
        <scheme val="minor"/>
      </rPr>
      <t xml:space="preserve"> Restaurar o rehabilitar ecosistemas marino costeros en el Departamento del Atlántico
</t>
    </r>
    <r>
      <rPr>
        <b/>
        <sz val="10"/>
        <color theme="1"/>
        <rFont val="Calibri"/>
        <family val="2"/>
        <scheme val="minor"/>
      </rPr>
      <t>Actividades 2.1.3.3.</t>
    </r>
    <r>
      <rPr>
        <sz val="10"/>
        <color theme="1"/>
        <rFont val="Calibri"/>
        <family val="2"/>
        <scheme val="minor"/>
      </rPr>
      <t xml:space="preserve">: Realizar acciones encaminadas a la actualización de la ordenación del Ecosistema de Manglar 
</t>
    </r>
    <r>
      <rPr>
        <b/>
        <sz val="10"/>
        <color theme="1"/>
        <rFont val="Calibri"/>
        <family val="2"/>
        <scheme val="minor"/>
      </rPr>
      <t>Actividades 2.1.3.4:</t>
    </r>
    <r>
      <rPr>
        <sz val="10"/>
        <color theme="1"/>
        <rFont val="Calibri"/>
        <family val="2"/>
        <scheme val="minor"/>
      </rPr>
      <t>. Monitorear el ecosistema de manglar del departamento</t>
    </r>
  </si>
  <si>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</si>
  <si>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</si>
  <si>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</si>
  <si>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</si>
  <si>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</si>
  <si>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</si>
  <si>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</si>
  <si>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</si>
  <si>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</si>
  <si>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</si>
  <si>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2.1.3.1.: Implementar acciones que promuevan la conservación de la biodiversidad Marino-costera en el departamento del Atlántico - NA 2024</t>
  </si>
  <si>
    <t>Planificación y ordenamiento de la Unidad Ambiental Costera UAC</t>
  </si>
  <si>
    <t xml:space="preserve"> 2.1.3.2.: Restaurar o rehabilitar ecosistemas marino costeros en el Departamento del Atlántico</t>
  </si>
  <si>
    <t>Estrategia de manejo sostenible</t>
  </si>
  <si>
    <t>2.1.3.3.: Realizar acciones encaminadas a la actualización de la ordenación del Ecosistema de Manglar </t>
  </si>
  <si>
    <t>Acciones para mitigar y controlar el estado de erosión costera</t>
  </si>
  <si>
    <t xml:space="preserve"> 2.1.3.4:. Monitorear el ecosistema de manglar del departamento</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</si>
  <si>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</si>
  <si>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</si>
  <si>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</si>
  <si>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</si>
  <si>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</si>
  <si>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</si>
  <si>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</si>
  <si>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</si>
  <si>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</si>
  <si>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</si>
  <si>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</si>
  <si>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</si>
  <si>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</si>
  <si>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</si>
  <si>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</si>
  <si>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</si>
  <si>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</si>
  <si>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</si>
  <si>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</si>
  <si>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</si>
  <si>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</si>
  <si>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</si>
  <si>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</si>
  <si>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</si>
  <si>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</si>
  <si>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</si>
  <si>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</si>
  <si>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</si>
  <si>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</si>
  <si>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</si>
  <si>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</si>
  <si>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</si>
  <si>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</si>
  <si>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</si>
  <si>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</si>
  <si>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r>
      <rPr>
        <b/>
        <sz val="10"/>
        <color theme="1"/>
        <rFont val="Calibri"/>
        <family val="2"/>
        <scheme val="minor"/>
      </rPr>
      <t>Línea Estratégica No. 4</t>
    </r>
    <r>
      <rPr>
        <sz val="10"/>
        <color theme="1"/>
        <rFont val="Calibri"/>
        <family val="2"/>
        <scheme val="minor"/>
      </rPr>
      <t xml:space="preserve">: Gestión para la Sostenibilidad Sectorial y Territorial
</t>
    </r>
    <r>
      <rPr>
        <b/>
        <sz val="10"/>
        <color theme="1"/>
        <rFont val="Calibri"/>
        <family val="2"/>
        <scheme val="minor"/>
      </rPr>
      <t xml:space="preserve">Programa 4.2. </t>
    </r>
    <r>
      <rPr>
        <sz val="10"/>
        <color theme="1"/>
        <rFont val="Calibri"/>
        <family val="2"/>
        <scheme val="minor"/>
      </rPr>
      <t xml:space="preserve">: CONMONITOR: Control y Monitoreo de los Recursos Naturales y el Ambiente
</t>
    </r>
    <r>
      <rPr>
        <b/>
        <sz val="10"/>
        <color theme="1"/>
        <rFont val="Calibri"/>
        <family val="2"/>
        <scheme val="minor"/>
      </rPr>
      <t xml:space="preserve">Proyecto 4.2.5.: </t>
    </r>
    <r>
      <rPr>
        <sz val="10"/>
        <color theme="1"/>
        <rFont val="Calibri"/>
        <family val="2"/>
        <scheme val="minor"/>
      </rPr>
      <t xml:space="preserve">Residuos Sólidos
</t>
    </r>
    <r>
      <rPr>
        <b/>
        <sz val="10"/>
        <color theme="1"/>
        <rFont val="Calibri"/>
        <family val="2"/>
        <scheme val="minor"/>
      </rPr>
      <t xml:space="preserve">Actividades 4.2.5.1: </t>
    </r>
    <r>
      <rPr>
        <sz val="10"/>
        <color theme="1"/>
        <rFont val="Calibri"/>
        <family val="2"/>
        <scheme val="minor"/>
      </rPr>
      <t xml:space="preserve"> Realizar seguimiento a las metas de aprovechamiento del Plan de Gestión Integral de Residuos Sólidos (PGIRS) municipales de la jurisdicción de la CRA
</t>
    </r>
    <r>
      <rPr>
        <b/>
        <sz val="10"/>
        <color theme="1"/>
        <rFont val="Calibri"/>
        <family val="2"/>
        <scheme val="minor"/>
      </rPr>
      <t>Actividades 4.2.5.2:</t>
    </r>
    <r>
      <rPr>
        <sz val="10"/>
        <color theme="1"/>
        <rFont val="Calibri"/>
        <family val="2"/>
        <scheme val="minor"/>
      </rPr>
      <t xml:space="preserve"> Actualizar e implementar el Plan de Gestión Integral de Residuos - Residuos Peligrosos (PGIR-RESPEL) conforme a la política ambiental para la gestión integral de residuos peligrosos 2022-2030.
Meta (A):  Un (1) documento de actualización del Plan de Gestión Integral de Residuos - Residuos Peligrosos (PGIR-RESPEL) conforme a la política ambiental para la gestión integral de residuos peligrosos 2022-2030.
Meta (B):  Cien por ciento (100%) del  Plan de Gestión Integral de Residuos - Residuos Peligrosos (PGIR-RESPEL) implementado
</t>
    </r>
  </si>
  <si>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</si>
  <si>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</si>
  <si>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</si>
  <si>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</si>
  <si>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</si>
  <si>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</si>
  <si>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t>BLEYDY COLL PEÑA</t>
  </si>
  <si>
    <t>bcoll@crautonoma.gov.co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</si>
  <si>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</si>
  <si>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</si>
  <si>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</si>
  <si>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</si>
  <si>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</si>
  <si>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</si>
  <si>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</si>
  <si>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</si>
  <si>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</si>
  <si>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</si>
  <si>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</si>
  <si>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</si>
  <si>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</si>
  <si>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</si>
  <si>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r>
      <rPr>
        <b/>
        <sz val="10"/>
        <color theme="1"/>
        <rFont val="Calibri"/>
        <family val="2"/>
        <scheme val="minor"/>
      </rPr>
      <t>Línea Estratégica No. 5:</t>
    </r>
    <r>
      <rPr>
        <sz val="10"/>
        <color theme="1"/>
        <rFont val="Calibri"/>
        <family val="2"/>
        <scheme val="minor"/>
      </rPr>
      <t xml:space="preserve"> Cambio Climático y Gestión del Riesgo
</t>
    </r>
    <r>
      <rPr>
        <b/>
        <sz val="10"/>
        <color theme="1"/>
        <rFont val="Calibri"/>
        <family val="2"/>
        <scheme val="minor"/>
      </rPr>
      <t xml:space="preserve">Programa  5.3. </t>
    </r>
    <r>
      <rPr>
        <sz val="10"/>
        <color theme="1"/>
        <rFont val="Calibri"/>
        <family val="2"/>
        <scheme val="minor"/>
      </rPr>
      <t xml:space="preserve">FNCER para la construcción de comunidades energéticas sostenibles
</t>
    </r>
    <r>
      <rPr>
        <b/>
        <sz val="10"/>
        <color theme="1"/>
        <rFont val="Calibri"/>
        <family val="2"/>
        <scheme val="minor"/>
      </rPr>
      <t xml:space="preserve">Proyecto: 5.3.1. </t>
    </r>
    <r>
      <rPr>
        <sz val="10"/>
        <color theme="1"/>
        <rFont val="Calibri"/>
        <family val="2"/>
        <scheme val="minor"/>
      </rPr>
      <t xml:space="preserve">Atlántico: para una democracia energética justa y eficiente
</t>
    </r>
    <r>
      <rPr>
        <b/>
        <sz val="10"/>
        <color theme="1"/>
        <rFont val="Calibri"/>
        <family val="2"/>
        <scheme val="minor"/>
      </rPr>
      <t xml:space="preserve">Actividad 5.3.1.1: </t>
    </r>
    <r>
      <rPr>
        <sz val="10"/>
        <color theme="1"/>
        <rFont val="Calibri"/>
        <family val="2"/>
        <scheme val="minor"/>
      </rPr>
      <t xml:space="preserve">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t>
    </r>
    <r>
      <rPr>
        <b/>
        <sz val="10"/>
        <color theme="1"/>
        <rFont val="Calibri"/>
        <family val="2"/>
        <scheme val="minor"/>
      </rPr>
      <t>Actividad 5.3.1.2:</t>
    </r>
    <r>
      <rPr>
        <sz val="10"/>
        <color theme="1"/>
        <rFont val="Calibri"/>
        <family val="2"/>
        <scheme val="minor"/>
      </rPr>
      <t xml:space="preserve"> Implementar proyectos a partir de modelos híbridos de FNCER (Biomasa, Eólica, Solar, etc) para las comunidades energéticas que promuevan la descarbonización en el departamento del Atlantico.
</t>
    </r>
    <r>
      <rPr>
        <b/>
        <sz val="10"/>
        <color theme="1"/>
        <rFont val="Calibri"/>
        <family val="2"/>
        <scheme val="minor"/>
      </rPr>
      <t xml:space="preserve">Actividad 5.3.1.3: </t>
    </r>
    <r>
      <rPr>
        <sz val="10"/>
        <color theme="1"/>
        <rFont val="Calibri"/>
        <family val="2"/>
        <scheme val="minor"/>
      </rPr>
      <t xml:space="preserve"> Promover la implementación de Comunidades Energéticas en el departamento del Atlántico </t>
    </r>
  </si>
  <si>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</si>
  <si>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</si>
  <si>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</si>
  <si>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</si>
  <si>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</si>
  <si>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</si>
  <si>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</si>
  <si>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</si>
  <si>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</si>
  <si>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 xml:space="preserve">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t>
  </si>
  <si>
    <t>Proyectos de generación de energía hidrocinética</t>
  </si>
  <si>
    <t>5.3.1.2: Implementar proyectos a partir de modelos híbridos de FNCER (Biomasa, Eólica, Solar, etc) para las comunidades energéticas que promuevan la descarbonización en el departamento del Atlantico.</t>
  </si>
  <si>
    <t xml:space="preserve">Proyectos de Biomasa, Eolica, solar etc. </t>
  </si>
  <si>
    <t xml:space="preserve"> 5.3.1.3:  Promover la implementación de Comunidades Energéticas en el departamento del Atlántico </t>
  </si>
  <si>
    <t>Comunidades energéticas</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</si>
  <si>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</si>
  <si>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</si>
  <si>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</si>
  <si>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</si>
  <si>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</si>
  <si>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</si>
  <si>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</si>
  <si>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</si>
  <si>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</si>
  <si>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</si>
  <si>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</si>
  <si>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</si>
  <si>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</si>
  <si>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</si>
  <si>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</si>
  <si>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</si>
  <si>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</si>
  <si>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</si>
  <si>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</si>
  <si>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</si>
  <si>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</si>
  <si>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</si>
  <si>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</si>
  <si>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</si>
  <si>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</si>
  <si>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</si>
  <si>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</si>
  <si>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</si>
  <si>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</si>
  <si>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</si>
  <si>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</si>
  <si>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</si>
  <si>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</si>
  <si>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</si>
  <si>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</si>
  <si>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</si>
  <si>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</si>
  <si>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</si>
  <si>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</si>
  <si>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</si>
  <si>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r>
      <rPr>
        <b/>
        <sz val="8"/>
        <color theme="1"/>
        <rFont val="Calibri"/>
        <family val="2"/>
        <scheme val="minor"/>
      </rPr>
      <t>Línea Estratégica No. 5: Cambio Climático y Gestión del Riesgo</t>
    </r>
    <r>
      <rPr>
        <sz val="8"/>
        <color theme="1"/>
        <rFont val="Calibri"/>
        <family val="2"/>
        <scheme val="minor"/>
      </rPr>
      <t xml:space="preserve">
</t>
    </r>
    <r>
      <rPr>
        <b/>
        <sz val="8"/>
        <color theme="1"/>
        <rFont val="Calibri"/>
        <family val="2"/>
        <scheme val="minor"/>
      </rPr>
      <t xml:space="preserve">Programa  5.1. </t>
    </r>
    <r>
      <rPr>
        <sz val="8"/>
        <color theme="1"/>
        <rFont val="Calibri"/>
        <family val="2"/>
        <scheme val="minor"/>
      </rPr>
      <t xml:space="preserve">CARBONONEUTRALIDAD: Innovación institucional para la buena Gobernanza del cambio climático en el territorio
</t>
    </r>
    <r>
      <rPr>
        <b/>
        <sz val="8"/>
        <color theme="1"/>
        <rFont val="Calibri"/>
        <family val="2"/>
        <scheme val="minor"/>
      </rPr>
      <t xml:space="preserve">Proyecto:5.1.1. </t>
    </r>
    <r>
      <rPr>
        <sz val="8"/>
        <color theme="1"/>
        <rFont val="Calibri"/>
        <family val="2"/>
        <scheme val="minor"/>
      </rPr>
      <t xml:space="preserve">AtlántiCO2: Camino a la Carbononeutralidad
</t>
    </r>
    <r>
      <rPr>
        <b/>
        <sz val="8"/>
        <color theme="1"/>
        <rFont val="Calibri"/>
        <family val="2"/>
        <scheme val="minor"/>
      </rPr>
      <t>Actividad 5.1.1.1</t>
    </r>
    <r>
      <rPr>
        <sz val="8"/>
        <color theme="1"/>
        <rFont val="Calibri"/>
        <family val="2"/>
        <scheme val="minor"/>
      </rPr>
      <t xml:space="preserve">. Promover la descarbonización en sectores priorizados por la Corporación en el Departamento del Atlántico
Meta (A): Treinta (30) empresas con medición de huella de carbono realizadas y su Plan de gestión de GEI en la jurisdicción de la C.R.A.
Meta (B) Treinta (30) empresas con seguimiento de huella de carbono realizadas y su Plan de gestión de GEI en la jurisdicción de la C.R.A.
</t>
    </r>
    <r>
      <rPr>
        <b/>
        <sz val="8"/>
        <color theme="1"/>
        <rFont val="Calibri"/>
        <family val="2"/>
        <scheme val="minor"/>
      </rPr>
      <t>Proyecto 5.1.2</t>
    </r>
    <r>
      <rPr>
        <sz val="8"/>
        <color theme="1"/>
        <rFont val="Calibri"/>
        <family val="2"/>
        <scheme val="minor"/>
      </rPr>
      <t xml:space="preserve">.: Gobernanza climática: Estrategias para el fomento de la buena gestión del cambio climático en el territorio
</t>
    </r>
    <r>
      <rPr>
        <b/>
        <sz val="8"/>
        <color theme="1"/>
        <rFont val="Calibri"/>
        <family val="2"/>
        <scheme val="minor"/>
      </rPr>
      <t>Actividad5.1.2.1.</t>
    </r>
    <r>
      <rPr>
        <sz val="8"/>
        <color theme="1"/>
        <rFont val="Calibri"/>
        <family val="2"/>
        <scheme val="minor"/>
      </rPr>
      <t xml:space="preserve"> Promover la descarbonización a través de espacios de discusión técnico-científica sobre Cambio Climático que reúnan a expertos, científicos y profesionales para intercambiar conocimientos ante los desafíos, avances y soluciones en materia de cambio climático. 
</t>
    </r>
    <r>
      <rPr>
        <b/>
        <sz val="8"/>
        <color theme="1"/>
        <rFont val="Calibri"/>
        <family val="2"/>
        <scheme val="minor"/>
      </rPr>
      <t xml:space="preserve">Programa 5.2: </t>
    </r>
    <r>
      <rPr>
        <sz val="8"/>
        <color theme="1"/>
        <rFont val="Calibri"/>
        <family val="2"/>
        <scheme val="minor"/>
      </rPr>
      <t xml:space="preserve">BIOECONOMÍA: Crecimiento verde y sostenible a través de la Innovación
</t>
    </r>
    <r>
      <rPr>
        <b/>
        <sz val="8"/>
        <color theme="1"/>
        <rFont val="Calibri"/>
        <family val="2"/>
        <scheme val="minor"/>
      </rPr>
      <t>Proyecto 5.2.1.</t>
    </r>
    <r>
      <rPr>
        <sz val="8"/>
        <color theme="1"/>
        <rFont val="Calibri"/>
        <family val="2"/>
        <scheme val="minor"/>
      </rPr>
      <t xml:space="preserve"> Bioeconomía: Desarrollo social, inteligente y sostenible de los territorios
</t>
    </r>
    <r>
      <rPr>
        <b/>
        <sz val="8"/>
        <color theme="1"/>
        <rFont val="Calibri"/>
        <family val="2"/>
        <scheme val="minor"/>
      </rPr>
      <t>Actividad 5.2.1.2.</t>
    </r>
    <r>
      <rPr>
        <sz val="8"/>
        <color theme="1"/>
        <rFont val="Calibri"/>
        <family val="2"/>
        <scheme val="minor"/>
      </rPr>
      <t xml:space="preserve">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Meta (C): Trescientas (300) unidades productivas para promover la reconversión tecnológica y actividades con impacto positivo al medio ambiente de los sistemas de producción ganadera tradicionales.
</t>
    </r>
    <r>
      <rPr>
        <b/>
        <sz val="8"/>
        <color theme="1"/>
        <rFont val="Calibri"/>
        <family val="2"/>
        <scheme val="minor"/>
      </rPr>
      <t xml:space="preserve">
Programa  5.3.</t>
    </r>
    <r>
      <rPr>
        <sz val="8"/>
        <color theme="1"/>
        <rFont val="Calibri"/>
        <family val="2"/>
        <scheme val="minor"/>
      </rPr>
      <t xml:space="preserve"> FNCER para la construcción de comunidades energéticas sostenibles
</t>
    </r>
    <r>
      <rPr>
        <b/>
        <sz val="8"/>
        <color theme="1"/>
        <rFont val="Calibri"/>
        <family val="2"/>
        <scheme val="minor"/>
      </rPr>
      <t>Proyecto: 5.3.1</t>
    </r>
    <r>
      <rPr>
        <sz val="8"/>
        <color theme="1"/>
        <rFont val="Calibri"/>
        <family val="2"/>
        <scheme val="minor"/>
      </rPr>
      <t xml:space="preserve">. Atlántico: para una democracia energética justa y eficiente
</t>
    </r>
    <r>
      <rPr>
        <b/>
        <sz val="8"/>
        <color theme="1"/>
        <rFont val="Calibri"/>
        <family val="2"/>
        <scheme val="minor"/>
      </rPr>
      <t>Actividad 5.3.1.1</t>
    </r>
    <r>
      <rPr>
        <sz val="8"/>
        <color theme="1"/>
        <rFont val="Calibri"/>
        <family val="2"/>
        <scheme val="minor"/>
      </rPr>
      <t xml:space="preserve">: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t>
    </r>
    <r>
      <rPr>
        <b/>
        <sz val="8"/>
        <color theme="1"/>
        <rFont val="Calibri"/>
        <family val="2"/>
        <scheme val="minor"/>
      </rPr>
      <t>Actividad 5.3.1.2:</t>
    </r>
    <r>
      <rPr>
        <sz val="8"/>
        <color theme="1"/>
        <rFont val="Calibri"/>
        <family val="2"/>
        <scheme val="minor"/>
      </rPr>
      <t xml:space="preserve"> Implementar proyectos a partir de modelos híbridos de FNCER (Biomasa, Eólica, Solar, etc) para las comunidades energéticas que promuevan la descarbonización en el departamento del Atlantico.
</t>
    </r>
    <r>
      <rPr>
        <b/>
        <sz val="8"/>
        <color theme="1"/>
        <rFont val="Calibri"/>
        <family val="2"/>
        <scheme val="minor"/>
      </rPr>
      <t xml:space="preserve">Actividad 5.3.1.3:  </t>
    </r>
    <r>
      <rPr>
        <sz val="8"/>
        <color theme="1"/>
        <rFont val="Calibri"/>
        <family val="2"/>
        <scheme val="minor"/>
      </rPr>
      <t xml:space="preserve">Promover la implementación de Comunidades Energéticas en el departamento del Atlántico 
</t>
    </r>
    <r>
      <rPr>
        <b/>
        <sz val="8"/>
        <color theme="1"/>
        <rFont val="Calibri"/>
        <family val="2"/>
        <scheme val="minor"/>
      </rPr>
      <t xml:space="preserve">Programa 5.5 </t>
    </r>
    <r>
      <rPr>
        <sz val="8"/>
        <color theme="1"/>
        <rFont val="Calibri"/>
        <family val="2"/>
        <scheme val="minor"/>
      </rPr>
      <t xml:space="preserve"> Gestión del Riesgo y Cambio Climático
</t>
    </r>
    <r>
      <rPr>
        <b/>
        <sz val="8"/>
        <color theme="1"/>
        <rFont val="Calibri"/>
        <family val="2"/>
        <scheme val="minor"/>
      </rPr>
      <t xml:space="preserve">Proyecto 5.5.1. </t>
    </r>
    <r>
      <rPr>
        <sz val="8"/>
        <color theme="1"/>
        <rFont val="Calibri"/>
        <family val="2"/>
        <scheme val="minor"/>
      </rPr>
      <t xml:space="preserve">Conocimiento y adaptación a la Gestión del Riesgo
</t>
    </r>
    <r>
      <rPr>
        <b/>
        <sz val="8"/>
        <color theme="1"/>
        <rFont val="Calibri"/>
        <family val="2"/>
        <scheme val="minor"/>
      </rPr>
      <t>Actividad 5.5.1.1.</t>
    </r>
    <r>
      <rPr>
        <sz val="8"/>
        <color theme="1"/>
        <rFont val="Calibri"/>
        <family val="2"/>
        <scheme val="minor"/>
      </rPr>
      <t xml:space="preserve"> Actualizar estudios técnicos para el conocimiento y reducción del riesgo e incorporación de la gestión del riesgo en el ordenamiento territorial de los municipios del departamento.
</t>
    </r>
    <r>
      <rPr>
        <b/>
        <sz val="8"/>
        <color theme="1"/>
        <rFont val="Calibri"/>
        <family val="2"/>
        <scheme val="minor"/>
      </rPr>
      <t>Actividad 5.5.1.2.</t>
    </r>
    <r>
      <rPr>
        <sz val="8"/>
        <color theme="1"/>
        <rFont val="Calibri"/>
        <family val="2"/>
        <scheme val="minor"/>
      </rPr>
      <t xml:space="preserve">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
</t>
    </r>
    <r>
      <rPr>
        <b/>
        <sz val="8"/>
        <color theme="1"/>
        <rFont val="Calibri"/>
        <family val="2"/>
        <scheme val="minor"/>
      </rPr>
      <t>Proyecto 5.5.2</t>
    </r>
    <r>
      <rPr>
        <sz val="8"/>
        <color theme="1"/>
        <rFont val="Calibri"/>
        <family val="2"/>
        <scheme val="minor"/>
      </rPr>
      <t xml:space="preserve">. Intervenciones locales orientadas a reducir la vulnerabilidad y el aumento de la resiliencia a la variabilidad y al Cambio Climático
</t>
    </r>
    <r>
      <rPr>
        <b/>
        <sz val="8"/>
        <color theme="1"/>
        <rFont val="Calibri"/>
        <family val="2"/>
        <scheme val="minor"/>
      </rPr>
      <t>Actividad 5.5.2.1</t>
    </r>
    <r>
      <rPr>
        <sz val="8"/>
        <color theme="1"/>
        <rFont val="Calibri"/>
        <family val="2"/>
        <scheme val="minor"/>
      </rPr>
      <t xml:space="preserve">. Implementar acciones que fortalezcan la Resiliencia, mitigación y adaptación al cambio climático del Departamento del Atlántico
</t>
    </r>
    <r>
      <rPr>
        <b/>
        <sz val="8"/>
        <color theme="1"/>
        <rFont val="Calibri"/>
        <family val="2"/>
        <scheme val="minor"/>
      </rPr>
      <t>Actividad 5.5.2.2</t>
    </r>
    <r>
      <rPr>
        <sz val="8"/>
        <color theme="1"/>
        <rFont val="Calibri"/>
        <family val="2"/>
        <scheme val="minor"/>
      </rPr>
      <t xml:space="preserve">. Realizar seguimiento a las obras de recuperación ambiental del Arroyo El Platanal Ubicado en el Municipio de Soledad. (Relevancia: PNGIRH) 
</t>
    </r>
    <r>
      <rPr>
        <b/>
        <sz val="8"/>
        <color theme="1"/>
        <rFont val="Calibri"/>
        <family val="2"/>
        <scheme val="minor"/>
      </rPr>
      <t>Actividad 5.5.2.3.</t>
    </r>
    <r>
      <rPr>
        <sz val="8"/>
        <color theme="1"/>
        <rFont val="Calibri"/>
        <family val="2"/>
        <scheme val="minor"/>
      </rPr>
      <t xml:space="preserve"> Realizar seguimiento ambiental a las Obras de canalización de los arroyos del Distrito de Barranquilla.</t>
    </r>
  </si>
  <si>
    <t>Porcentaje de ejecución de acciones relacionadas con la gestión ambiental urbana.</t>
  </si>
  <si>
    <t>Número de acciones relacionadas con gestión ambiental urbana</t>
  </si>
  <si>
    <t>Ejecución física de las acciones relacionadas con la gestión ambiental urbana</t>
  </si>
  <si>
    <t>Actividad 5.1.1.1. Promover la descarbonización en sectores priorizados por la Corporación en el Departamento del Atlántico
Meta (A): Treinta (30) empresas con medición de huella de carbono realizadas y su Plan de gestión de GEI en la jurisdicción de la C.R.A.</t>
  </si>
  <si>
    <t>Transformación productiva, internacionalización y acción climática.</t>
  </si>
  <si>
    <t>Actividad 5.1.1.1. Promover la descarbonización en sectores priorizados por la Corporación en el Departamento del Atlántico
Meta (B) Treinta (30) empresas con seguimiento de huella de carbono realizadas y su Plan de gestión de GEI en la jurisdicción de la C.R.A.</t>
  </si>
  <si>
    <t xml:space="preserve">Actividad 5.2.1.2.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t>
  </si>
  <si>
    <t>Actividad 5.3.1.1: Promover la transición energética en el departamento del Atlántico a partir del uso de Fuentes no Convencionales de Energías Renovables - FNCER mediante la implementación de proyectos que permitan ealuar la capacidad de generación de energía</t>
  </si>
  <si>
    <t>Actividad 5.3.1.2: Implementar proyectos a partir de modelos híbridos de FNCER (Biomasa, Eólica, Solar, etc) para las comunidades energéticas que promuevan la descarbonización en el departamento del Atlantico.</t>
  </si>
  <si>
    <t xml:space="preserve">Actividad 5.3.1.3:  Promover la implementación de Comunidades Energéticas en el departamento del Atlántico </t>
  </si>
  <si>
    <t>Actividad 5.5.1.1. Actualizar estudios técnicos para el conocimiento y reducción del riesgo e incorporación de la gestión del riesgo en el ordenamiento territorial de los municipios del departamento.</t>
  </si>
  <si>
    <t>Actividad 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t>
  </si>
  <si>
    <t>Actividad 5.5.2.1. Implementar acciones que fortalezcan la Resiliencia, mitigación y adaptación al cambio climático del Departamento del Atlántico</t>
  </si>
  <si>
    <t xml:space="preserve">
Actividad 5.5.2.2. Realizar seguimiento a las obras de recuperación ambiental del Arroyo El Platanal Ubicado en el Municipio de Soledad. (Relevancia: PNGIRH) </t>
  </si>
  <si>
    <t>Actividad 5.5.2.3. Realizar seguimiento ambiental a las Obras de canalización de los arroyos del Distrito de Barranquilla.</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</si>
  <si>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</si>
  <si>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</si>
  <si>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</si>
  <si>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</si>
  <si>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</si>
  <si>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</si>
  <si>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</si>
  <si>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</si>
  <si>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</si>
  <si>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</si>
  <si>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</si>
  <si>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</si>
  <si>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</si>
  <si>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</si>
  <si>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</si>
  <si>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</si>
  <si>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</si>
  <si>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</si>
  <si>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</si>
  <si>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</si>
  <si>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</si>
  <si>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</si>
  <si>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</si>
  <si>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</si>
  <si>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</si>
  <si>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</si>
  <si>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</si>
  <si>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</si>
  <si>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</si>
  <si>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</si>
  <si>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</si>
  <si>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</si>
  <si>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</si>
  <si>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</si>
  <si>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</si>
  <si>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</si>
  <si>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</si>
  <si>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</si>
  <si>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</si>
  <si>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</si>
  <si>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</si>
  <si>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</si>
  <si>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</si>
  <si>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</si>
  <si>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</si>
  <si>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</si>
  <si>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</si>
  <si>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</si>
  <si>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</si>
  <si>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</si>
  <si>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</si>
  <si>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</si>
  <si>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</si>
  <si>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</si>
  <si>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</si>
  <si>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</si>
  <si>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</si>
  <si>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</si>
  <si>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</si>
  <si>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</si>
  <si>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</si>
  <si>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</si>
  <si>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</si>
  <si>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</si>
  <si>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</si>
  <si>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</si>
  <si>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</si>
  <si>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</si>
  <si>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</si>
  <si>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 xml:space="preserve">Actividad 2.2.2.1. Implementar el Plan Nacional de Negocios Verdes 
Meta (A) : Cuarenta y nueve (49) nuevos Negocios Verdes Verificados (Emprendimiento, Empresas Avaladas/No Avaladas, Empresas Ancla) según meta establecida por el MADS
</t>
  </si>
  <si>
    <t>Verificación de negocios verdes</t>
  </si>
  <si>
    <t xml:space="preserve">Actividad 2.2.2.1. Implementar el Plan Nacional de Negocios Verdes 
Meta (B):  Noventa (90) Negocios Verdes existentes y verificados con seguimiento (Emprendimiento, Empresas Avaladas/No Avaladas, Empresas Ancla), durante el cuatrienio
</t>
  </si>
  <si>
    <t>Actividad 2.2.2.1. Implementar el Plan Nacional de Negocios Verdes 
Meta (C):  Cuatro (4) acciones estratégicas que permitan desarrollar procesos para el fomento y fortalecimiento de los Negocios Verdes verificados ejecutadas</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</si>
  <si>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</si>
  <si>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</si>
  <si>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</si>
  <si>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</si>
  <si>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</si>
  <si>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</si>
  <si>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</si>
  <si>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</si>
  <si>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</si>
  <si>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</si>
  <si>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</si>
  <si>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</si>
  <si>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</si>
  <si>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</si>
  <si>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</si>
  <si>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</si>
  <si>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</si>
  <si>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</si>
  <si>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</si>
  <si>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</si>
  <si>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</si>
  <si>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</si>
  <si>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</si>
  <si>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</si>
  <si>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</si>
  <si>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</si>
  <si>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</si>
  <si>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</si>
  <si>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</si>
  <si>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</si>
  <si>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</si>
  <si>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</si>
  <si>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</si>
  <si>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</si>
  <si>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</si>
  <si>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</si>
  <si>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</si>
  <si>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</si>
  <si>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</si>
  <si>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</si>
  <si>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</si>
  <si>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</si>
  <si>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</si>
  <si>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</si>
  <si>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</si>
  <si>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</si>
  <si>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</si>
  <si>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</si>
  <si>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</si>
  <si>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</si>
  <si>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</si>
  <si>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</si>
  <si>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</si>
  <si>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</si>
  <si>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</si>
  <si>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</si>
  <si>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 xml:space="preserve">La información contenida en la base de datos corresponde al total de dias hábiles del trámite sin descontar los tiempos correspondientes al usuario. Para efectos de la variable se ha descontando estos tiempos, por lo tanto, puede no haber coincidencia completa entre la base de datos y la información consignada en las variables que integran este indicador.
</t>
  </si>
  <si>
    <t>Licencias ambientales</t>
  </si>
  <si>
    <t>LINEA BASE 2020-2023 PROM= 110,7 DIAS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</si>
  <si>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</si>
  <si>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</si>
  <si>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</si>
  <si>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</si>
  <si>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LINEA BASE 2020-2023 PROM= 59,4 DIAS</t>
  </si>
  <si>
    <t xml:space="preserve">N C.A.S.: Número de solicitudes de concesión de agua recibidas en el periodo. </t>
  </si>
  <si>
    <t>Tx C.A.S. Tiempo promedio efectivo de duración del trámite de Concesiones de Agua.</t>
  </si>
  <si>
    <t>Permisos de vertimiento de agua</t>
  </si>
  <si>
    <t>LINEA BASE 2020-2023 PROM= 71,4 DIAS</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</si>
  <si>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</si>
  <si>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</si>
  <si>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</si>
  <si>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</si>
  <si>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LINEA BASE 2020-2023 PROM= 65,6 DIAS</t>
  </si>
  <si>
    <t>TP.E. Tiempo efectivo de duración del trámite de otorgamiento de aprovechamiento forestal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</si>
  <si>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</si>
  <si>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</si>
  <si>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</si>
  <si>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LINEA BASE 2020-2023 PROM= 66,7 DIAS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</si>
  <si>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</si>
  <si>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</si>
  <si>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</si>
  <si>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</si>
  <si>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</si>
  <si>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</si>
  <si>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</si>
  <si>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</si>
  <si>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</si>
  <si>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t>Subdirección de Gestión Ambiental</t>
  </si>
  <si>
    <t>3686626 ext 112</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</si>
  <si>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</si>
  <si>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</si>
  <si>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</si>
  <si>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</si>
  <si>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</si>
  <si>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</si>
  <si>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</si>
  <si>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</si>
  <si>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</si>
  <si>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</si>
  <si>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</si>
  <si>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</si>
  <si>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</si>
  <si>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</si>
  <si>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</si>
  <si>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</si>
  <si>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</si>
  <si>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</si>
  <si>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</si>
  <si>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</si>
  <si>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</si>
  <si>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</si>
  <si>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</si>
  <si>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</si>
  <si>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</si>
  <si>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</si>
  <si>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</si>
  <si>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r>
      <rPr>
        <b/>
        <sz val="10"/>
        <color theme="1"/>
        <rFont val="Calibri"/>
        <family val="2"/>
        <scheme val="minor"/>
      </rPr>
      <t>Línea Estratégica No 4.</t>
    </r>
    <r>
      <rPr>
        <sz val="10"/>
        <color theme="1"/>
        <rFont val="Calibri"/>
        <family val="2"/>
        <scheme val="minor"/>
      </rPr>
      <t xml:space="preserve"> Sostenibilidad sectorial
</t>
    </r>
    <r>
      <rPr>
        <b/>
        <sz val="10"/>
        <color theme="1"/>
        <rFont val="Calibri"/>
        <family val="2"/>
        <scheme val="minor"/>
      </rPr>
      <t>Programa 4.3. VELA:</t>
    </r>
    <r>
      <rPr>
        <sz val="10"/>
        <color theme="1"/>
        <rFont val="Calibri"/>
        <family val="2"/>
        <scheme val="minor"/>
      </rPr>
      <t xml:space="preserve"> vigilar y evaluar la legalidad ambiental 
</t>
    </r>
    <r>
      <rPr>
        <b/>
        <sz val="10"/>
        <color theme="1"/>
        <rFont val="Calibri"/>
        <family val="2"/>
        <scheme val="minor"/>
      </rPr>
      <t>Proyecto  4.3.1</t>
    </r>
    <r>
      <rPr>
        <sz val="10"/>
        <color theme="1"/>
        <rFont val="Calibri"/>
        <family val="2"/>
        <scheme val="minor"/>
      </rPr>
      <t xml:space="preserve">.Evaluación, Seguimiento y Control 
</t>
    </r>
    <r>
      <rPr>
        <b/>
        <sz val="10"/>
        <color theme="1"/>
        <rFont val="Calibri"/>
        <family val="2"/>
        <scheme val="minor"/>
      </rPr>
      <t>Actividad 4.3.1.2.</t>
    </r>
    <r>
      <rPr>
        <sz val="10"/>
        <color theme="1"/>
        <rFont val="Calibri"/>
        <family val="2"/>
        <scheme val="minor"/>
      </rPr>
      <t xml:space="preserve"> Realizar el seguimiento de los instrumentos de control ambiental 
</t>
    </r>
    <r>
      <rPr>
        <b/>
        <sz val="10"/>
        <color theme="1"/>
        <rFont val="Calibri"/>
        <family val="2"/>
        <scheme val="minor"/>
      </rPr>
      <t>Meta (A):</t>
    </r>
    <r>
      <rPr>
        <sz val="10"/>
        <color theme="1"/>
        <rFont val="Calibri"/>
        <family val="2"/>
        <scheme val="minor"/>
      </rPr>
      <t xml:space="preserve"> Cien por ciento (100%) de las licencias ambientales otorgadas con seguimiento
</t>
    </r>
    <r>
      <rPr>
        <b/>
        <sz val="10"/>
        <color theme="1"/>
        <rFont val="Calibri"/>
        <family val="2"/>
        <scheme val="minor"/>
      </rPr>
      <t>Meta (B):</t>
    </r>
    <r>
      <rPr>
        <sz val="10"/>
        <color theme="1"/>
        <rFont val="Calibri"/>
        <family val="2"/>
        <scheme val="minor"/>
      </rPr>
      <t xml:space="preserve"> Cien por ciento (100%) de las concesiones de agua otorgadas con seguimiento
</t>
    </r>
    <r>
      <rPr>
        <b/>
        <sz val="10"/>
        <color theme="1"/>
        <rFont val="Calibri"/>
        <family val="2"/>
        <scheme val="minor"/>
      </rPr>
      <t xml:space="preserve">Meta (C): </t>
    </r>
    <r>
      <rPr>
        <sz val="10"/>
        <color theme="1"/>
        <rFont val="Calibri"/>
        <family val="2"/>
        <scheme val="minor"/>
      </rPr>
      <t xml:space="preserve">Cien por ciento (100%) de los permisos de vertimiento otorgados con seguimiento
</t>
    </r>
    <r>
      <rPr>
        <b/>
        <sz val="10"/>
        <color theme="1"/>
        <rFont val="Calibri"/>
        <family val="2"/>
        <scheme val="minor"/>
      </rPr>
      <t xml:space="preserve">Meta (D): </t>
    </r>
    <r>
      <rPr>
        <sz val="10"/>
        <color theme="1"/>
        <rFont val="Calibri"/>
        <family val="2"/>
        <scheme val="minor"/>
      </rPr>
      <t xml:space="preserve">Cien por ciento (100%) de los permisos de aprovechamiento forestal otorgados con seguimiento
</t>
    </r>
    <r>
      <rPr>
        <b/>
        <sz val="10"/>
        <color theme="1"/>
        <rFont val="Calibri"/>
        <family val="2"/>
        <scheme val="minor"/>
      </rPr>
      <t>Meta (E):</t>
    </r>
    <r>
      <rPr>
        <sz val="10"/>
        <color theme="1"/>
        <rFont val="Calibri"/>
        <family val="2"/>
        <scheme val="minor"/>
      </rPr>
      <t xml:space="preserve"> Cien por ciento (100%) de los permisos de emisiones atmosféricas otorgadas con seguimiento
</t>
    </r>
  </si>
  <si>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</si>
  <si>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</si>
  <si>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</si>
  <si>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</si>
  <si>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</si>
  <si>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</si>
  <si>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</si>
  <si>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</si>
  <si>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</si>
  <si>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</si>
  <si>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</si>
  <si>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</si>
  <si>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Minero</t>
  </si>
  <si>
    <t>Energetico</t>
  </si>
  <si>
    <t>Industrial</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</si>
  <si>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</si>
  <si>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</si>
  <si>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</si>
  <si>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</si>
  <si>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</si>
  <si>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</si>
  <si>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</si>
  <si>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</si>
  <si>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</si>
  <si>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</si>
  <si>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</si>
  <si>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</si>
  <si>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</si>
  <si>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</si>
  <si>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</si>
  <si>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</si>
  <si>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</si>
  <si>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</si>
  <si>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</si>
  <si>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</si>
  <si>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</si>
  <si>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</si>
  <si>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</si>
  <si>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</si>
  <si>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</si>
  <si>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</si>
  <si>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</si>
  <si>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</si>
  <si>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</si>
  <si>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</si>
  <si>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</si>
  <si>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</si>
  <si>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</si>
  <si>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</si>
  <si>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</si>
  <si>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</si>
  <si>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</si>
  <si>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</si>
  <si>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</si>
  <si>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</si>
  <si>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</si>
  <si>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</si>
  <si>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</si>
  <si>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</si>
  <si>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</si>
  <si>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</si>
  <si>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</si>
  <si>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</si>
  <si>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</si>
  <si>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</si>
  <si>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</si>
  <si>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</si>
  <si>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</si>
  <si>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r>
      <rPr>
        <b/>
        <sz val="10"/>
        <color theme="1"/>
        <rFont val="Calibri"/>
        <family val="2"/>
        <scheme val="minor"/>
      </rPr>
      <t>Línea Estratégica No 4.</t>
    </r>
    <r>
      <rPr>
        <sz val="10"/>
        <color theme="1"/>
        <rFont val="Calibri"/>
        <family val="2"/>
        <scheme val="minor"/>
      </rPr>
      <t xml:space="preserve"> Sostenibilidad sectorial 
</t>
    </r>
    <r>
      <rPr>
        <b/>
        <sz val="10"/>
        <color theme="1"/>
        <rFont val="Calibri"/>
        <family val="2"/>
        <scheme val="minor"/>
      </rPr>
      <t>Programa 4.3.</t>
    </r>
    <r>
      <rPr>
        <sz val="10"/>
        <color theme="1"/>
        <rFont val="Calibri"/>
        <family val="2"/>
        <scheme val="minor"/>
      </rPr>
      <t xml:space="preserve"> VELA: Vigilar y evaluar la legalidad ambiental 
</t>
    </r>
    <r>
      <rPr>
        <b/>
        <sz val="10"/>
        <color theme="1"/>
        <rFont val="Calibri"/>
        <family val="2"/>
        <scheme val="minor"/>
      </rPr>
      <t xml:space="preserve">Proyecto 4.3.1. </t>
    </r>
    <r>
      <rPr>
        <sz val="10"/>
        <color theme="1"/>
        <rFont val="Calibri"/>
        <family val="2"/>
        <scheme val="minor"/>
      </rPr>
      <t xml:space="preserve">Evaluación, Seguimiento y Control
</t>
    </r>
    <r>
      <rPr>
        <b/>
        <sz val="10"/>
        <color theme="1"/>
        <rFont val="Calibri"/>
        <family val="2"/>
        <scheme val="minor"/>
      </rPr>
      <t>Actividad 4.3.1.4.</t>
    </r>
    <r>
      <rPr>
        <sz val="10"/>
        <color theme="1"/>
        <rFont val="Calibri"/>
        <family val="2"/>
        <scheme val="minor"/>
      </rPr>
      <t xml:space="preserve"> Atender e impulsar la resolución de los procesos sancionatorios
</t>
    </r>
    <r>
      <rPr>
        <b/>
        <sz val="10"/>
        <color theme="1"/>
        <rFont val="Calibri"/>
        <family val="2"/>
        <scheme val="minor"/>
      </rPr>
      <t xml:space="preserve">Meta: </t>
    </r>
    <r>
      <rPr>
        <sz val="10"/>
        <color theme="1"/>
        <rFont val="Calibri"/>
        <family val="2"/>
        <scheme val="minor"/>
      </rPr>
      <t xml:space="preserve">Cien por ciento (100%) de las quejas ambientales radicadas en la Corporación atendidas dentro de los tiempos establecidos por Ley 
</t>
    </r>
  </si>
  <si>
    <t>Linea base 2020-2023</t>
  </si>
  <si>
    <t>Año 3-2026</t>
  </si>
  <si>
    <t>Año 4-2027</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</si>
  <si>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</si>
  <si>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</si>
  <si>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</si>
  <si>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</si>
  <si>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</si>
  <si>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t>SUBDIRECCION GESTION AMBIENTAL</t>
  </si>
  <si>
    <t>Bleydy Coll Pena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</si>
  <si>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</si>
  <si>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</si>
  <si>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</si>
  <si>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</si>
  <si>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</si>
  <si>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</si>
  <si>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</si>
  <si>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</si>
  <si>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</si>
  <si>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</si>
  <si>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</si>
  <si>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</si>
  <si>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</si>
  <si>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</si>
  <si>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</si>
  <si>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r>
      <rPr>
        <b/>
        <sz val="10"/>
        <color theme="1"/>
        <rFont val="Calibri"/>
        <family val="2"/>
        <scheme val="minor"/>
      </rPr>
      <t>Línea Estratégica No</t>
    </r>
    <r>
      <rPr>
        <sz val="10"/>
        <color theme="1"/>
        <rFont val="Calibri"/>
        <family val="2"/>
        <scheme val="minor"/>
      </rPr>
      <t xml:space="preserve"> 4. Sostenibilidad sectorial 
</t>
    </r>
    <r>
      <rPr>
        <b/>
        <sz val="10"/>
        <color theme="1"/>
        <rFont val="Calibri"/>
        <family val="2"/>
        <scheme val="minor"/>
      </rPr>
      <t xml:space="preserve">Programa 4.1. </t>
    </r>
    <r>
      <rPr>
        <sz val="10"/>
        <color theme="1"/>
        <rFont val="Calibri"/>
        <family val="2"/>
        <scheme val="minor"/>
      </rPr>
      <t xml:space="preserve">SOS-Terra: Ordenando Ambientalmente el Territorio 
</t>
    </r>
    <r>
      <rPr>
        <b/>
        <sz val="10"/>
        <color theme="1"/>
        <rFont val="Calibri"/>
        <family val="2"/>
        <scheme val="minor"/>
      </rPr>
      <t>Proyecto 4.1.2.</t>
    </r>
    <r>
      <rPr>
        <sz val="10"/>
        <color theme="1"/>
        <rFont val="Calibri"/>
        <family val="2"/>
        <scheme val="minor"/>
      </rPr>
      <t xml:space="preserve"> Instrumentos de Planificación 
</t>
    </r>
    <r>
      <rPr>
        <b/>
        <sz val="10"/>
        <color theme="1"/>
        <rFont val="Calibri"/>
        <family val="2"/>
        <scheme val="minor"/>
      </rPr>
      <t>Actividad 4.1.2.1.</t>
    </r>
    <r>
      <rPr>
        <sz val="10"/>
        <color theme="1"/>
        <rFont val="Calibri"/>
        <family val="2"/>
        <scheme val="minor"/>
      </rPr>
      <t xml:space="preserve"> Municipios asistidos en la inclusión del componente ambiental en los procesos de planificación y ordenamiento territorial, con énfasis en la incorporación de las determinantes ambientales para la revisión y ajuste de los POT
</t>
    </r>
    <r>
      <rPr>
        <b/>
        <sz val="10"/>
        <color theme="1"/>
        <rFont val="Calibri"/>
        <family val="2"/>
        <scheme val="minor"/>
      </rPr>
      <t>Meta:</t>
    </r>
    <r>
      <rPr>
        <sz val="10"/>
        <color theme="1"/>
        <rFont val="Calibri"/>
        <family val="2"/>
        <scheme val="minor"/>
      </rPr>
      <t xml:space="preserve"> Veintitres (23) municipios asistidos en la inclusión del componente ambiental en los procesos de planificación y ordenamiento territorial, con énfasis en la incorporación de las determinantes ambientales para la revisión y ajuste de los POT</t>
    </r>
  </si>
  <si>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</si>
  <si>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</si>
  <si>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</si>
  <si>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</si>
  <si>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</si>
  <si>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</si>
  <si>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</si>
  <si>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t>Jefe Oficina Asesora de Planeación</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</si>
  <si>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</si>
  <si>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</si>
  <si>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</si>
  <si>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</si>
  <si>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</si>
  <si>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</si>
  <si>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</si>
  <si>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</si>
  <si>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</si>
  <si>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</si>
  <si>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</si>
  <si>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</si>
  <si>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</si>
  <si>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</si>
  <si>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</si>
  <si>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</si>
  <si>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</si>
  <si>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</si>
  <si>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</si>
  <si>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</si>
  <si>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</si>
  <si>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r>
      <rPr>
        <b/>
        <sz val="10"/>
        <color theme="1"/>
        <rFont val="Calibri"/>
        <family val="2"/>
        <scheme val="minor"/>
      </rPr>
      <t xml:space="preserve">Línea Estratégica No 4. </t>
    </r>
    <r>
      <rPr>
        <sz val="10"/>
        <color theme="1"/>
        <rFont val="Calibri"/>
        <family val="2"/>
        <scheme val="minor"/>
      </rPr>
      <t xml:space="preserve">Sostenibilidad sectorial 
</t>
    </r>
    <r>
      <rPr>
        <b/>
        <sz val="10"/>
        <color theme="1"/>
        <rFont val="Calibri"/>
        <family val="2"/>
        <scheme val="minor"/>
      </rPr>
      <t>Programa 4.2.</t>
    </r>
    <r>
      <rPr>
        <sz val="10"/>
        <color theme="1"/>
        <rFont val="Calibri"/>
        <family val="2"/>
        <scheme val="minor"/>
      </rPr>
      <t xml:space="preserve"> CONMONITOR: control y monitoreo de los Recursos Naturales y el Ambiente 
</t>
    </r>
    <r>
      <rPr>
        <b/>
        <sz val="10"/>
        <color theme="1"/>
        <rFont val="Calibri"/>
        <family val="2"/>
        <scheme val="minor"/>
      </rPr>
      <t>Proyecto 4.2.2.</t>
    </r>
    <r>
      <rPr>
        <sz val="10"/>
        <color theme="1"/>
        <rFont val="Calibri"/>
        <family val="2"/>
        <scheme val="minor"/>
      </rPr>
      <t xml:space="preserve"> Aire 
</t>
    </r>
    <r>
      <rPr>
        <b/>
        <sz val="10"/>
        <color theme="1"/>
        <rFont val="Calibri"/>
        <family val="2"/>
        <scheme val="minor"/>
      </rPr>
      <t xml:space="preserve">Actividad 4.2.2.1. </t>
    </r>
    <r>
      <rPr>
        <sz val="10"/>
        <color theme="1"/>
        <rFont val="Calibri"/>
        <family val="2"/>
        <scheme val="minor"/>
      </rPr>
      <t>Monitorear y reportar la calidad del aire en el departamento del Atlántico de acuerdo a la norma vigente.</t>
    </r>
  </si>
  <si>
    <r>
      <rPr>
        <b/>
        <sz val="10"/>
        <color theme="1"/>
        <rFont val="Calibri"/>
        <family val="2"/>
        <scheme val="minor"/>
      </rPr>
      <t>Línea Estratégica No 4.</t>
    </r>
    <r>
      <rPr>
        <sz val="10"/>
        <color theme="1"/>
        <rFont val="Calibri"/>
        <family val="2"/>
        <scheme val="minor"/>
      </rPr>
      <t xml:space="preserve"> Sostenibilidad Sectorial y Territorial
</t>
    </r>
    <r>
      <rPr>
        <b/>
        <sz val="10"/>
        <color theme="1"/>
        <rFont val="Calibri"/>
        <family val="2"/>
        <scheme val="minor"/>
      </rPr>
      <t xml:space="preserve">Programa 4.2 </t>
    </r>
    <r>
      <rPr>
        <sz val="10"/>
        <color theme="1"/>
        <rFont val="Calibri"/>
        <family val="2"/>
        <scheme val="minor"/>
      </rPr>
      <t xml:space="preserve">CONMONITOR: control y monitoreo de los Recursos Naturales y el Ambiente
</t>
    </r>
    <r>
      <rPr>
        <b/>
        <sz val="10"/>
        <color theme="1"/>
        <rFont val="Calibri"/>
        <family val="2"/>
        <scheme val="minor"/>
      </rPr>
      <t>Proyecto 4.2.2</t>
    </r>
    <r>
      <rPr>
        <sz val="10"/>
        <color theme="1"/>
        <rFont val="Calibri"/>
        <family val="2"/>
        <scheme val="minor"/>
      </rPr>
      <t xml:space="preserve">. AIRE
</t>
    </r>
    <r>
      <rPr>
        <b/>
        <sz val="10"/>
        <color theme="1"/>
        <rFont val="Calibri"/>
        <family val="2"/>
        <scheme val="minor"/>
      </rPr>
      <t>Actividad 4.2.2.1.</t>
    </r>
    <r>
      <rPr>
        <sz val="10"/>
        <color theme="1"/>
        <rFont val="Calibri"/>
        <family val="2"/>
        <scheme val="minor"/>
      </rPr>
      <t xml:space="preserve"> Monitorear y reportar la calidad del aire en el departamento del Atlántico de acuerdo a la norma vigente. 
</t>
    </r>
    <r>
      <rPr>
        <b/>
        <sz val="10"/>
        <color theme="1"/>
        <rFont val="Calibri"/>
        <family val="2"/>
        <scheme val="minor"/>
      </rPr>
      <t>META (A)</t>
    </r>
    <r>
      <rPr>
        <sz val="10"/>
        <color theme="1"/>
        <rFont val="Calibri"/>
        <family val="2"/>
        <scheme val="minor"/>
      </rPr>
      <t xml:space="preserve">:  Seis (6) estaciones de la Red de Monitoreo de Calidad de Aire del Departamento del Atlántico instaladas y en operación, con un sistema de monitoreo ambiental continuo, con transmisión de datos vía digital o con comunicaciones digitales.
</t>
    </r>
    <r>
      <rPr>
        <b/>
        <sz val="10"/>
        <color theme="1"/>
        <rFont val="Calibri"/>
        <family val="2"/>
        <scheme val="minor"/>
      </rPr>
      <t>META (B)</t>
    </r>
    <r>
      <rPr>
        <sz val="10"/>
        <color theme="1"/>
        <rFont val="Calibri"/>
        <family val="2"/>
        <scheme val="minor"/>
      </rPr>
      <t xml:space="preserve">: Cuarenta (40) operativos para la identificación de nuevas fuentes de emisiones atmosféricas por fuentes fijas en el Departamento del Atlántico.
</t>
    </r>
    <r>
      <rPr>
        <b/>
        <sz val="10"/>
        <color theme="1"/>
        <rFont val="Calibri"/>
        <family val="2"/>
        <scheme val="minor"/>
      </rPr>
      <t>NOTA: De acuerdo con lo programado en el PAI la meta se ejecutará a partir de la vigencia 2025</t>
    </r>
  </si>
  <si>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</si>
  <si>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</si>
  <si>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</si>
  <si>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</si>
  <si>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</si>
  <si>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</si>
  <si>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</si>
  <si>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</si>
  <si>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</si>
  <si>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No se tienen</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</si>
  <si>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</si>
  <si>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</si>
  <si>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</si>
  <si>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</si>
  <si>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</si>
  <si>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</si>
  <si>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</si>
  <si>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</si>
  <si>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</si>
  <si>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</si>
  <si>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MALAMBO- SECRETARÍA DE TRÁNSITO (30867)</t>
  </si>
  <si>
    <t>SOLEDAD- EDUMAS (30864)</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</si>
  <si>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</si>
  <si>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</si>
  <si>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</si>
  <si>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</si>
  <si>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</si>
  <si>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</si>
  <si>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</si>
  <si>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</si>
  <si>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</si>
  <si>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</si>
  <si>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</si>
  <si>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</si>
  <si>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</si>
  <si>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</si>
  <si>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</si>
  <si>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</si>
  <si>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</si>
  <si>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</si>
  <si>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</si>
  <si>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El SVCA consta de dos estaciones, están instaladas en EDUMAS – Secretaría de Medio Ambiente de Soledad (Atlántico) y Concejo Municipal de Malambo (Atlántico).</t>
  </si>
  <si>
    <t>Red1</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</si>
  <si>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</si>
  <si>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</si>
  <si>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</si>
  <si>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</si>
  <si>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</si>
  <si>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</si>
  <si>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</si>
  <si>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</si>
  <si>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</si>
  <si>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</si>
  <si>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</si>
  <si>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</si>
  <si>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</si>
  <si>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</si>
  <si>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</si>
  <si>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</si>
  <si>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</si>
  <si>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</si>
  <si>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</si>
  <si>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</si>
  <si>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</si>
  <si>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</si>
  <si>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</si>
  <si>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</si>
  <si>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</si>
  <si>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</si>
  <si>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</si>
  <si>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</si>
  <si>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</si>
  <si>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</si>
  <si>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r>
      <t xml:space="preserve">
</t>
    </r>
    <r>
      <rPr>
        <b/>
        <sz val="10"/>
        <color theme="1"/>
        <rFont val="Calibri"/>
        <family val="2"/>
        <scheme val="minor"/>
      </rPr>
      <t>Línea Estratégica No 6.</t>
    </r>
    <r>
      <rPr>
        <sz val="10"/>
        <color theme="1"/>
        <rFont val="Calibri"/>
        <family val="2"/>
        <scheme val="minor"/>
      </rPr>
      <t xml:space="preserve"> Sostenibilidad Institucional 
</t>
    </r>
    <r>
      <rPr>
        <b/>
        <sz val="10"/>
        <color theme="1"/>
        <rFont val="Calibri"/>
        <family val="2"/>
        <scheme val="minor"/>
      </rPr>
      <t>Programa 6.2:</t>
    </r>
    <r>
      <rPr>
        <sz val="10"/>
        <color theme="1"/>
        <rFont val="Calibri"/>
        <family val="2"/>
        <scheme val="minor"/>
      </rPr>
      <t xml:space="preserve"> Tecnologías de la información para el fortalecimiento y desarrollo de la transformación digital de la entidad 
</t>
    </r>
    <r>
      <rPr>
        <b/>
        <sz val="10"/>
        <color theme="1"/>
        <rFont val="Calibri"/>
        <family val="2"/>
        <scheme val="minor"/>
      </rPr>
      <t xml:space="preserve">Proyecto 6.2.4 </t>
    </r>
    <r>
      <rPr>
        <sz val="10"/>
        <color theme="1"/>
        <rFont val="Calibri"/>
        <family val="2"/>
        <scheme val="minor"/>
      </rPr>
      <t xml:space="preserve">Sistemas de Información. 
</t>
    </r>
    <r>
      <rPr>
        <b/>
        <sz val="10"/>
        <color theme="1"/>
        <rFont val="Calibri"/>
        <family val="2"/>
        <scheme val="minor"/>
      </rPr>
      <t>Actividad 6.2.4.2</t>
    </r>
    <r>
      <rPr>
        <sz val="10"/>
        <color theme="1"/>
        <rFont val="Calibri"/>
        <family val="2"/>
        <scheme val="minor"/>
      </rPr>
      <t xml:space="preserve"> Realizar el reporte, validación o actualización en los Subsistemas del Sistema Ambiental Colombiano - SIAC
</t>
    </r>
    <r>
      <rPr>
        <b/>
        <sz val="10"/>
        <color theme="1"/>
        <rFont val="Calibri"/>
        <family val="2"/>
        <scheme val="minor"/>
      </rPr>
      <t>Meta:</t>
    </r>
    <r>
      <rPr>
        <sz val="10"/>
        <color theme="1"/>
        <rFont val="Calibri"/>
        <family val="2"/>
        <scheme val="minor"/>
      </rPr>
      <t xml:space="preserve"> Cuatro (4) reportes validados o actualizados en los subsistemas del Sistema Información Ambiental Colombiano - SIAC.</t>
    </r>
  </si>
  <si>
    <t>Porcentaje de actualización y reporte de la información al SIAC</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</si>
  <si>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</si>
  <si>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</si>
  <si>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</si>
  <si>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</si>
  <si>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</si>
  <si>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</si>
  <si>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</si>
  <si>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</si>
  <si>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</si>
  <si>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</si>
  <si>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</si>
  <si>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</si>
  <si>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</si>
  <si>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</si>
  <si>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</si>
  <si>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</si>
  <si>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</si>
  <si>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</si>
  <si>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</si>
  <si>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</si>
  <si>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</si>
  <si>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</si>
  <si>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</si>
  <si>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</si>
  <si>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</si>
  <si>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</si>
  <si>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</si>
  <si>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</si>
  <si>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</si>
  <si>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</si>
  <si>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</si>
  <si>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</si>
  <si>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</si>
  <si>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</si>
  <si>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</si>
  <si>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</si>
  <si>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</si>
  <si>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</si>
  <si>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</si>
  <si>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</si>
  <si>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</si>
  <si>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</si>
  <si>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</si>
  <si>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</si>
  <si>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</si>
  <si>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</si>
  <si>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</si>
  <si>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r>
      <rPr>
        <b/>
        <sz val="8"/>
        <color theme="1"/>
        <rFont val="Calibri"/>
        <family val="2"/>
        <scheme val="minor"/>
      </rPr>
      <t>Línea Estratégica No 3.</t>
    </r>
    <r>
      <rPr>
        <sz val="8"/>
        <color theme="1"/>
        <rFont val="Calibri"/>
        <family val="2"/>
        <scheme val="minor"/>
      </rPr>
      <t xml:space="preserve"> Participación Equitativa y Diversa para la Inclusión Social y Justicia Ambiental 
</t>
    </r>
    <r>
      <rPr>
        <b/>
        <sz val="8"/>
        <color theme="1"/>
        <rFont val="Calibri"/>
        <family val="2"/>
        <scheme val="minor"/>
      </rPr>
      <t>Programa 3.1</t>
    </r>
    <r>
      <rPr>
        <sz val="8"/>
        <color theme="1"/>
        <rFont val="Calibri"/>
        <family val="2"/>
        <scheme val="minor"/>
      </rPr>
      <t xml:space="preserve">  E2 EcoEduca: Transformación sociocultural por la Sostenibilidad
</t>
    </r>
    <r>
      <rPr>
        <b/>
        <sz val="8"/>
        <color theme="1"/>
        <rFont val="Calibri"/>
        <family val="2"/>
        <scheme val="minor"/>
      </rPr>
      <t>Proyecto 3.1.1</t>
    </r>
    <r>
      <rPr>
        <sz val="8"/>
        <color theme="1"/>
        <rFont val="Calibri"/>
        <family val="2"/>
        <scheme val="minor"/>
      </rPr>
      <t xml:space="preserve"> Fortalecimiento de los Comites Interinstitucionales de Educación Ambiental - CIDEA
</t>
    </r>
    <r>
      <rPr>
        <b/>
        <sz val="8"/>
        <color theme="1"/>
        <rFont val="Calibri"/>
        <family val="2"/>
        <scheme val="minor"/>
      </rPr>
      <t>Actividad 3.1.1.1</t>
    </r>
    <r>
      <rPr>
        <sz val="8"/>
        <color theme="1"/>
        <rFont val="Calibri"/>
        <family val="2"/>
        <scheme val="minor"/>
      </rPr>
      <t xml:space="preserve"> Brindar anualmente asistencia técnica a los CIDEA municipales para apoyar la elaboración y/o ajuste o implementación del Plan Municipal de Educación Ambiental PEAM.
</t>
    </r>
    <r>
      <rPr>
        <b/>
        <sz val="8"/>
        <color theme="1"/>
        <rFont val="Calibri"/>
        <family val="2"/>
        <scheme val="minor"/>
      </rPr>
      <t>Actividad 3.1.1.2</t>
    </r>
    <r>
      <rPr>
        <sz val="8"/>
        <color theme="1"/>
        <rFont val="Calibri"/>
        <family val="2"/>
        <scheme val="minor"/>
      </rPr>
      <t xml:space="preserve">  Apoyar iniciativas del Comité Técnico Interinstitucional de Educación Ambiental Departamental -CIDEA.
</t>
    </r>
    <r>
      <rPr>
        <b/>
        <sz val="8"/>
        <color theme="1"/>
        <rFont val="Calibri"/>
        <family val="2"/>
        <scheme val="minor"/>
      </rPr>
      <t>Proyecto 3.1.2</t>
    </r>
    <r>
      <rPr>
        <sz val="8"/>
        <color theme="1"/>
        <rFont val="Calibri"/>
        <family val="2"/>
        <scheme val="minor"/>
      </rPr>
      <t xml:space="preserve"> Inclusión de lo ambiental en la educación formal
</t>
    </r>
    <r>
      <rPr>
        <b/>
        <sz val="8"/>
        <color theme="1"/>
        <rFont val="Calibri"/>
        <family val="2"/>
        <scheme val="minor"/>
      </rPr>
      <t>Actividad 3.1.2.1</t>
    </r>
    <r>
      <rPr>
        <sz val="8"/>
        <color theme="1"/>
        <rFont val="Calibri"/>
        <family val="2"/>
        <scheme val="minor"/>
      </rPr>
      <t xml:space="preserve"> Brindar asistencia técnica a las instituciones educativas públicas para apoyar la elaboración, ajuste o implementación de los Proyectos Ambientales Escolares (PRAE).
</t>
    </r>
    <r>
      <rPr>
        <b/>
        <sz val="8"/>
        <color theme="1"/>
        <rFont val="Calibri"/>
        <family val="2"/>
        <scheme val="minor"/>
      </rPr>
      <t>Actividad 3.1.2.2</t>
    </r>
    <r>
      <rPr>
        <sz val="8"/>
        <color theme="1"/>
        <rFont val="Calibri"/>
        <family val="2"/>
        <scheme val="minor"/>
      </rPr>
      <t xml:space="preserve"> Brindar asistencia técnica a los semilleros de investigación o grupos ecológicos en  sus  iniciativas ambientales.
</t>
    </r>
    <r>
      <rPr>
        <b/>
        <sz val="8"/>
        <color theme="1"/>
        <rFont val="Calibri"/>
        <family val="2"/>
        <scheme val="minor"/>
      </rPr>
      <t>Actividad 3.1.2.3</t>
    </r>
    <r>
      <rPr>
        <sz val="8"/>
        <color theme="1"/>
        <rFont val="Calibri"/>
        <family val="2"/>
        <scheme val="minor"/>
      </rPr>
      <t xml:space="preserve"> Realizar acciones con Instituciones de Educación Superior para apoyar la realización  de  iniciativas que promuevan lo ambiental.
</t>
    </r>
    <r>
      <rPr>
        <b/>
        <sz val="8"/>
        <color theme="1"/>
        <rFont val="Calibri"/>
        <family val="2"/>
        <scheme val="minor"/>
      </rPr>
      <t>Proyecto 3.1.3</t>
    </r>
    <r>
      <rPr>
        <sz val="8"/>
        <color theme="1"/>
        <rFont val="Calibri"/>
        <family val="2"/>
        <scheme val="minor"/>
      </rPr>
      <t xml:space="preserve"> Inclusión del tema ambiental en la educación no formal
</t>
    </r>
    <r>
      <rPr>
        <b/>
        <sz val="8"/>
        <color theme="1"/>
        <rFont val="Calibri"/>
        <family val="2"/>
        <scheme val="minor"/>
      </rPr>
      <t>Actividad 3.1.3.1</t>
    </r>
    <r>
      <rPr>
        <sz val="8"/>
        <color theme="1"/>
        <rFont val="Calibri"/>
        <family val="2"/>
        <scheme val="minor"/>
      </rPr>
      <t xml:space="preserve"> Brindar asistencia técnica para apoyar la elaboración, ajuste o implementación de los Proyectos Ciudadanos de Educación Ambiental – PROCEDA o iniciativas ambientales comunitarias.
</t>
    </r>
    <r>
      <rPr>
        <b/>
        <sz val="8"/>
        <color theme="1"/>
        <rFont val="Calibri"/>
        <family val="2"/>
        <scheme val="minor"/>
      </rPr>
      <t>Actividad 3.1.3.2</t>
    </r>
    <r>
      <rPr>
        <sz val="8"/>
        <color theme="1"/>
        <rFont val="Calibri"/>
        <family val="2"/>
        <scheme val="minor"/>
      </rPr>
      <t xml:space="preserve"> Impulsar procesos para la cualificación en materia de Educación Ambiental en los multiplicadores, dinamizadores y ONG ambientales del departamento
</t>
    </r>
    <r>
      <rPr>
        <b/>
        <sz val="8"/>
        <color theme="1"/>
        <rFont val="Calibri"/>
        <family val="2"/>
        <scheme val="minor"/>
      </rPr>
      <t>Actividad 3.1.3.3</t>
    </r>
    <r>
      <rPr>
        <sz val="8"/>
        <color theme="1"/>
        <rFont val="Calibri"/>
        <family val="2"/>
        <scheme val="minor"/>
      </rPr>
      <t xml:space="preserve"> Implementar un programa de formación  de Guardianes del Medio Ambiente GUMA para apoyar acciones prácticas de la gestión ambiental de la Corporación C.R.A en los municipios del departamento del Atlantico
</t>
    </r>
    <r>
      <rPr>
        <b/>
        <sz val="8"/>
        <color theme="1"/>
        <rFont val="Calibri"/>
        <family val="2"/>
        <scheme val="minor"/>
      </rPr>
      <t xml:space="preserve">Actividad 3.1.3.4 </t>
    </r>
    <r>
      <rPr>
        <sz val="8"/>
        <color theme="1"/>
        <rFont val="Calibri"/>
        <family val="2"/>
        <scheme val="minor"/>
      </rPr>
      <t xml:space="preserve">Desarrollar un programa de capacitación para formar a jóvenes como Gestores Ambientales Urbanos (GAU) en el Departamento
</t>
    </r>
    <r>
      <rPr>
        <b/>
        <sz val="8"/>
        <color theme="1"/>
        <rFont val="Calibri"/>
        <family val="2"/>
        <scheme val="minor"/>
      </rPr>
      <t>Actividad 3.1.3.5</t>
    </r>
    <r>
      <rPr>
        <sz val="8"/>
        <color theme="1"/>
        <rFont val="Calibri"/>
        <family val="2"/>
        <scheme val="minor"/>
      </rPr>
      <t xml:space="preserve"> Implementar el Plan de Actuación Estratégico Territorial Ambiental del Departamento del Atlántico
</t>
    </r>
    <r>
      <rPr>
        <b/>
        <sz val="8"/>
        <color theme="1"/>
        <rFont val="Calibri"/>
        <family val="2"/>
        <scheme val="minor"/>
      </rPr>
      <t>Actividad 3.1.3.6</t>
    </r>
    <r>
      <rPr>
        <sz val="8"/>
        <color theme="1"/>
        <rFont val="Calibri"/>
        <family val="2"/>
        <scheme val="minor"/>
      </rPr>
      <t xml:space="preserve"> Implementar estrategias de conciencia ambiental en niños para fomentar la protección del ambiente.
</t>
    </r>
    <r>
      <rPr>
        <b/>
        <sz val="8"/>
        <color theme="1"/>
        <rFont val="Calibri"/>
        <family val="2"/>
        <scheme val="minor"/>
      </rPr>
      <t xml:space="preserve">Proyecto 3.1.4 </t>
    </r>
    <r>
      <rPr>
        <sz val="8"/>
        <color theme="1"/>
        <rFont val="Calibri"/>
        <family val="2"/>
        <scheme val="minor"/>
      </rPr>
      <t xml:space="preserve"> Articulación de la educación ambiental con el sistema de gestión del riesgo y cambio climático
</t>
    </r>
    <r>
      <rPr>
        <b/>
        <sz val="8"/>
        <color theme="1"/>
        <rFont val="Calibri"/>
        <family val="2"/>
        <scheme val="minor"/>
      </rPr>
      <t>Actividad 3.1.4.1</t>
    </r>
    <r>
      <rPr>
        <sz val="8"/>
        <color theme="1"/>
        <rFont val="Calibri"/>
        <family val="2"/>
        <scheme val="minor"/>
      </rPr>
      <t xml:space="preserve"> Implementar acciones desde la Educación Ambiental para la consolidación de una cultura en el marco de la  gestión del riesgo y del cambio climático.
</t>
    </r>
    <r>
      <rPr>
        <b/>
        <sz val="8"/>
        <color theme="1"/>
        <rFont val="Calibri"/>
        <family val="2"/>
        <scheme val="minor"/>
      </rPr>
      <t xml:space="preserve">Proyecto 3.1.5 </t>
    </r>
    <r>
      <rPr>
        <sz val="8"/>
        <color theme="1"/>
        <rFont val="Calibri"/>
        <family val="2"/>
        <scheme val="minor"/>
      </rPr>
      <t xml:space="preserve">Fortalecimiento de estrategias de participación ciudadana que apunten al cumplimiento del Acuerdo de Escazú.
</t>
    </r>
    <r>
      <rPr>
        <b/>
        <sz val="8"/>
        <color theme="1"/>
        <rFont val="Calibri"/>
        <family val="2"/>
        <scheme val="minor"/>
      </rPr>
      <t>Actividad 3.1.5.1</t>
    </r>
    <r>
      <rPr>
        <sz val="8"/>
        <color theme="1"/>
        <rFont val="Calibri"/>
        <family val="2"/>
        <scheme val="minor"/>
      </rPr>
      <t xml:space="preserve"> Implementación de estrategias de participación ciudadana que apunten al cumplimiento del Acuerdo de Escazú</t>
    </r>
    <r>
      <rPr>
        <b/>
        <sz val="8"/>
        <color theme="1"/>
        <rFont val="Calibri"/>
        <family val="2"/>
        <scheme val="minor"/>
      </rPr>
      <t xml:space="preserve">
Proyecto 3.1.6  </t>
    </r>
    <r>
      <rPr>
        <sz val="8"/>
        <color theme="1"/>
        <rFont val="Calibri"/>
        <family val="2"/>
        <scheme val="minor"/>
      </rPr>
      <t xml:space="preserve">Conocimiento y sensibilización para la consolidación de la cultura ambiental.
</t>
    </r>
    <r>
      <rPr>
        <b/>
        <sz val="8"/>
        <color theme="1"/>
        <rFont val="Calibri"/>
        <family val="2"/>
        <scheme val="minor"/>
      </rPr>
      <t>Actividad 3.1.6.1</t>
    </r>
    <r>
      <rPr>
        <sz val="8"/>
        <color theme="1"/>
        <rFont val="Calibri"/>
        <family val="2"/>
        <scheme val="minor"/>
      </rPr>
      <t xml:space="preserve"> Transferencia de conocimiento o campañas ambientales con intencionalidad pedagógica
</t>
    </r>
    <r>
      <rPr>
        <b/>
        <sz val="8"/>
        <color theme="1"/>
        <rFont val="Calibri"/>
        <family val="2"/>
        <scheme val="minor"/>
      </rPr>
      <t xml:space="preserve">Proyecto 3.1.7 </t>
    </r>
    <r>
      <rPr>
        <sz val="8"/>
        <color theme="1"/>
        <rFont val="Calibri"/>
        <family val="2"/>
        <scheme val="minor"/>
      </rPr>
      <t xml:space="preserve">Inclusión de la perspectiva de género para un desarrollo sostenible centrado en la equidad en el departamento del Atlántico.
</t>
    </r>
    <r>
      <rPr>
        <b/>
        <sz val="8"/>
        <color theme="1"/>
        <rFont val="Calibri"/>
        <family val="2"/>
        <scheme val="minor"/>
      </rPr>
      <t>Actividad 3.1.7.1</t>
    </r>
    <r>
      <rPr>
        <sz val="8"/>
        <color theme="1"/>
        <rFont val="Calibri"/>
        <family val="2"/>
        <scheme val="minor"/>
      </rPr>
      <t xml:space="preserve"> Apoyar iniciativas con perspectiva de género que promuevan la sustentabilidad del territorio en el departamento del Atlántico</t>
    </r>
    <r>
      <rPr>
        <b/>
        <sz val="8"/>
        <color theme="1"/>
        <rFont val="Calibri"/>
        <family val="2"/>
        <scheme val="minor"/>
      </rPr>
      <t xml:space="preserve">
Proyecto 3.1.8</t>
    </r>
    <r>
      <rPr>
        <sz val="8"/>
        <color theme="1"/>
        <rFont val="Calibri"/>
        <family val="2"/>
        <scheme val="minor"/>
      </rPr>
      <t xml:space="preserve"> Escenarios de divulgación de intercambio de conocimiento de educación ambiental a nivel departamental regional, nacional o internacional
</t>
    </r>
    <r>
      <rPr>
        <b/>
        <sz val="8"/>
        <color theme="1"/>
        <rFont val="Calibri"/>
        <family val="2"/>
        <scheme val="minor"/>
      </rPr>
      <t>Actividad 3.1.8.1.</t>
    </r>
    <r>
      <rPr>
        <sz val="8"/>
        <color theme="1"/>
        <rFont val="Calibri"/>
        <family val="2"/>
        <scheme val="minor"/>
      </rPr>
      <t xml:space="preserve"> Promover o participar en escenarios de divulgación de la educación ambiental a nivel departamental, regional, nacional o internacional
</t>
    </r>
    <r>
      <rPr>
        <b/>
        <sz val="8"/>
        <color theme="1"/>
        <rFont val="Calibri"/>
        <family val="2"/>
        <scheme val="minor"/>
      </rPr>
      <t xml:space="preserve">Actividad 3.1.8.2. </t>
    </r>
    <r>
      <rPr>
        <sz val="8"/>
        <color theme="1"/>
        <rFont val="Calibri"/>
        <family val="2"/>
        <scheme val="minor"/>
      </rPr>
      <t xml:space="preserve">Apoyar eventos o ferias ambientales dirigidas a las organizaciones ambientales del Departamento.
</t>
    </r>
    <r>
      <rPr>
        <b/>
        <sz val="8"/>
        <color theme="1"/>
        <rFont val="Calibri"/>
        <family val="2"/>
        <scheme val="minor"/>
      </rPr>
      <t xml:space="preserve">
Programa 3.2 </t>
    </r>
    <r>
      <rPr>
        <sz val="8"/>
        <color theme="1"/>
        <rFont val="Calibri"/>
        <family val="2"/>
        <scheme val="minor"/>
      </rPr>
      <t xml:space="preserve">Sembrando Saber: cultivando el conocimiento ambiental del Atlántico
</t>
    </r>
    <r>
      <rPr>
        <b/>
        <sz val="8"/>
        <color theme="1"/>
        <rFont val="Calibri"/>
        <family val="2"/>
        <scheme val="minor"/>
      </rPr>
      <t>Proyecto 3.2.1</t>
    </r>
    <r>
      <rPr>
        <sz val="8"/>
        <color theme="1"/>
        <rFont val="Calibri"/>
        <family val="2"/>
        <scheme val="minor"/>
      </rPr>
      <t xml:space="preserve"> Reconocimiento de los saberes y conocimientos tradicionales de las etnias del departamento y su incorporación para la sustentabilidad ambiental
</t>
    </r>
    <r>
      <rPr>
        <b/>
        <sz val="8"/>
        <color theme="1"/>
        <rFont val="Calibri"/>
        <family val="2"/>
        <scheme val="minor"/>
      </rPr>
      <t>Actividad 3.2.1.1</t>
    </r>
    <r>
      <rPr>
        <sz val="8"/>
        <color theme="1"/>
        <rFont val="Calibri"/>
        <family val="2"/>
        <scheme val="minor"/>
      </rPr>
      <t xml:space="preserve"> Apoyar iniciativas para fortalecer los conocimientos, usos, costumbres, saberes y prácticas tradicionales ambientales de las comunidades negras del Departamento del Atlántico
</t>
    </r>
    <r>
      <rPr>
        <b/>
        <sz val="8"/>
        <color theme="1"/>
        <rFont val="Calibri"/>
        <family val="2"/>
        <scheme val="minor"/>
      </rPr>
      <t>Actividad 3.2.1.2</t>
    </r>
    <r>
      <rPr>
        <sz val="8"/>
        <color theme="1"/>
        <rFont val="Calibri"/>
        <family val="2"/>
        <scheme val="minor"/>
      </rPr>
      <t xml:space="preserve"> Apoyar iniciativas para fortalecer los conocimientos, usos, costumbres, saberes y prácticas tradicionales ambientales de las comunidades indígenas y otras étnias tradicionalmente asentadas en el Departamento del Atlántico
</t>
    </r>
    <r>
      <rPr>
        <b/>
        <sz val="8"/>
        <color theme="1"/>
        <rFont val="Calibri"/>
        <family val="2"/>
        <scheme val="minor"/>
      </rPr>
      <t xml:space="preserve">Actividad 3.2.1.3 </t>
    </r>
    <r>
      <rPr>
        <sz val="8"/>
        <color theme="1"/>
        <rFont val="Calibri"/>
        <family val="2"/>
        <scheme val="minor"/>
      </rPr>
      <t xml:space="preserve">Apoyar iniciativas para fortalecer los conocimientos, usos, costumbres, saberes y prácticas tradicionales ambientales de las comunidades Rrom asentadas en el Departamento del Atlántico
</t>
    </r>
    <r>
      <rPr>
        <b/>
        <sz val="8"/>
        <color theme="1"/>
        <rFont val="Calibri"/>
        <family val="2"/>
        <scheme val="minor"/>
      </rPr>
      <t xml:space="preserve">
Programa 3.3</t>
    </r>
    <r>
      <rPr>
        <sz val="8"/>
        <color theme="1"/>
        <rFont val="Calibri"/>
        <family val="2"/>
        <scheme val="minor"/>
      </rPr>
      <t xml:space="preserve">. NATURALIANZA: Alianzas por el Desarrollo Sostenible y la protección Ambiental
</t>
    </r>
    <r>
      <rPr>
        <b/>
        <sz val="8"/>
        <color theme="1"/>
        <rFont val="Calibri"/>
        <family val="2"/>
        <scheme val="minor"/>
      </rPr>
      <t>Proyecto 3.3.1</t>
    </r>
    <r>
      <rPr>
        <sz val="8"/>
        <color theme="1"/>
        <rFont val="Calibri"/>
        <family val="2"/>
        <scheme val="minor"/>
      </rPr>
      <t xml:space="preserve"> Realizar seguimiento y monitoreo a escala comunitaria de los Objetivos de Desarrollo Sostenible - ODS en el Departamento del Atlántico
</t>
    </r>
    <r>
      <rPr>
        <b/>
        <sz val="8"/>
        <color theme="1"/>
        <rFont val="Calibri"/>
        <family val="2"/>
        <scheme val="minor"/>
      </rPr>
      <t>Actividad 3.3.1.1</t>
    </r>
    <r>
      <rPr>
        <sz val="8"/>
        <color theme="1"/>
        <rFont val="Calibri"/>
        <family val="2"/>
        <scheme val="minor"/>
      </rPr>
      <t xml:space="preserve"> Elaborar Cuatro (4)  Documentos Técnicos con el informe de seguimiento a los ODS de los municipios del Departamento</t>
    </r>
  </si>
  <si>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</si>
  <si>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</si>
  <si>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</si>
  <si>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</si>
  <si>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t>
  </si>
  <si>
    <t>Cuanto más cercano a cien por ciento, mayor es el cumplimiento de las metas relacionadas con la Educación Ambiental, en el marco del Plan de Acción de la Corporación.</t>
  </si>
  <si>
    <t>Jefe Oficina Asesora</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</si>
  <si>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</si>
  <si>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</si>
  <si>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</si>
  <si>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</si>
  <si>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</si>
  <si>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</si>
  <si>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</si>
  <si>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</si>
  <si>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</si>
  <si>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</si>
  <si>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</si>
  <si>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</si>
  <si>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</si>
  <si>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</si>
  <si>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</si>
  <si>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</si>
  <si>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</si>
  <si>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</si>
  <si>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</si>
  <si>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</si>
  <si>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</si>
  <si>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</si>
  <si>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</si>
  <si>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</si>
  <si>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</si>
  <si>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</si>
  <si>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</si>
  <si>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</si>
  <si>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Observaciones para la mejora de la aplicación de los indicadores</t>
  </si>
  <si>
    <t>No. Hoja</t>
  </si>
  <si>
    <t>Observación</t>
  </si>
  <si>
    <t>Hoja de fórmulas</t>
  </si>
  <si>
    <t>En ejercicio de las labores de seguimiento ambiental para la vigencia 2025 se realizó el seguimiento a los 23 Municipios y un (1) corregimiento de sus Planes de Saneamiento y Manejo de Vertimientos (PSMV), dando cumplimiento al 100% de la meta programada.</t>
  </si>
  <si>
    <t>2.1.1.2  Realizar intervención en suelos degradados del Departamento del Atlántico</t>
  </si>
  <si>
    <t xml:space="preserve">Meta programada de 60Ha para el cuatrenio, distribuida en 20 Ha para las vigencias 2025, 2026 y 2027. </t>
  </si>
  <si>
    <t>N.A PARA LA VIGENCIA 2025</t>
  </si>
  <si>
    <t xml:space="preserve"> 2.2.1.2. (A) Elaborar o actualizar los Planes de Manejo de las Áreas Protegidas del departamento - Actualizados</t>
  </si>
  <si>
    <t xml:space="preserve"> 2.2.1.2. (B) Elaborar o actualizar los Planes de Manejo de las Áreas Protegidas del departamento - Elaborado</t>
  </si>
  <si>
    <t xml:space="preserve">PEZ LEÓN </t>
  </si>
  <si>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Programa 2.1</t>
    </r>
    <r>
      <rPr>
        <sz val="10"/>
        <color theme="1"/>
        <rFont val="Calibri"/>
        <family val="2"/>
        <scheme val="minor"/>
      </rPr>
      <t xml:space="preserve">   : Biodiversidad y Riqueza de los Ecosistemas Terrestres y marino Costeros
</t>
    </r>
    <r>
      <rPr>
        <b/>
        <sz val="10"/>
        <color theme="1"/>
        <rFont val="Calibri"/>
        <family val="2"/>
        <scheme val="minor"/>
      </rPr>
      <t>Proyecto 2.1.1</t>
    </r>
    <r>
      <rPr>
        <sz val="10"/>
        <color theme="1"/>
        <rFont val="Calibri"/>
        <family val="2"/>
        <scheme val="minor"/>
      </rPr>
      <t xml:space="preserve"> : Conservación de Ecosistemas Terrestres
</t>
    </r>
    <r>
      <rPr>
        <b/>
        <sz val="10"/>
        <color theme="1"/>
        <rFont val="Calibri"/>
        <family val="2"/>
        <scheme val="minor"/>
      </rPr>
      <t>Actividades: 2.1.1.1.</t>
    </r>
    <r>
      <rPr>
        <sz val="10"/>
        <color theme="1"/>
        <rFont val="Calibri"/>
        <family val="2"/>
        <scheme val="minor"/>
      </rPr>
      <t xml:space="preserve"> Restaurar, conservar, recuperar o rehabilitar ecosistemas terrestres en el Departamento del Atlántico de acuerdo al estado de conservación del Ecosistema
</t>
    </r>
    <r>
      <rPr>
        <b/>
        <sz val="10"/>
        <color theme="1"/>
        <rFont val="Calibri"/>
        <family val="2"/>
        <scheme val="minor"/>
      </rPr>
      <t xml:space="preserve">Meta (A) </t>
    </r>
    <r>
      <rPr>
        <sz val="10"/>
        <color theme="1"/>
        <rFont val="Calibri"/>
        <family val="2"/>
        <scheme val="minor"/>
      </rPr>
      <t xml:space="preserve">: Ciento veinte (120) hectáreas de ecosistemas restauradas, recuperadas o rehabilitadas en el Departamento del Atlántico
</t>
    </r>
    <r>
      <rPr>
        <b/>
        <sz val="10"/>
        <color theme="1"/>
        <rFont val="Calibri"/>
        <family val="2"/>
        <scheme val="minor"/>
      </rPr>
      <t xml:space="preserve">Meta (B): </t>
    </r>
    <r>
      <rPr>
        <sz val="10"/>
        <color theme="1"/>
        <rFont val="Calibri"/>
        <family val="2"/>
        <scheme val="minor"/>
      </rPr>
      <t xml:space="preserve">Cuatro (4) proyectos de restauración y conservación de  áreas ambientales estratégicas para aumentar la capacidad de adaptación al cambio climático y la resiliencia ecosistémica del departamento, estructurados, formulados y presentados en convocatorias nacionales.
</t>
    </r>
    <r>
      <rPr>
        <b/>
        <sz val="10"/>
        <color theme="1"/>
        <rFont val="Calibri"/>
        <family val="2"/>
        <scheme val="minor"/>
      </rPr>
      <t>Proyecto 2.1.3</t>
    </r>
    <r>
      <rPr>
        <sz val="10"/>
        <color theme="1"/>
        <rFont val="Calibri"/>
        <family val="2"/>
        <scheme val="minor"/>
      </rPr>
      <t xml:space="preserve"> : Conservación de Ecosistemas Marino Costeros
</t>
    </r>
    <r>
      <rPr>
        <b/>
        <sz val="10"/>
        <color theme="1"/>
        <rFont val="Calibri"/>
        <family val="2"/>
        <scheme val="minor"/>
      </rPr>
      <t>Actividades: 2.1.3.2.:</t>
    </r>
    <r>
      <rPr>
        <sz val="10"/>
        <color theme="1"/>
        <rFont val="Calibri"/>
        <family val="2"/>
        <scheme val="minor"/>
      </rPr>
      <t xml:space="preserve"> Restaurar, conservar, recuperar o rehabilitar ecosistemas marino-costeros en el Departamento del Atlántico 
</t>
    </r>
    <r>
      <rPr>
        <b/>
        <sz val="10"/>
        <color theme="1"/>
        <rFont val="Calibri"/>
        <family val="2"/>
        <scheme val="minor"/>
      </rPr>
      <t xml:space="preserve">Meta: </t>
    </r>
    <r>
      <rPr>
        <sz val="10"/>
        <color theme="1"/>
        <rFont val="Calibri"/>
        <family val="2"/>
        <scheme val="minor"/>
      </rPr>
      <t>Cuarenta (40) hectáreas de ecosistemas marino costeros restaurados, recuperados o rehabilitados en el Departamento del Atlántico</t>
    </r>
  </si>
  <si>
    <r>
      <rPr>
        <b/>
        <sz val="9"/>
        <color rgb="FF000000"/>
        <rFont val="Calibri"/>
        <family val="2"/>
        <scheme val="minor"/>
      </rPr>
      <t>Actividades: 2.1.3.2.:</t>
    </r>
    <r>
      <rPr>
        <sz val="9"/>
        <color rgb="FF000000"/>
        <rFont val="Calibri"/>
        <family val="2"/>
        <scheme val="minor"/>
      </rPr>
      <t xml:space="preserve"> Restaurar, conservar, recuperar o rehabilitar ecosistemas marino-costeros en el Departamento del Atlántico 
</t>
    </r>
    <r>
      <rPr>
        <b/>
        <sz val="9"/>
        <color rgb="FF000000"/>
        <rFont val="Calibri"/>
        <family val="2"/>
        <scheme val="minor"/>
      </rPr>
      <t>Meta:</t>
    </r>
    <r>
      <rPr>
        <sz val="9"/>
        <color rgb="FF000000"/>
        <rFont val="Calibri"/>
        <family val="2"/>
        <scheme val="minor"/>
      </rPr>
      <t xml:space="preserve"> Cuarenta (40) hectáreas de ecosistemas marino costeros restaurados, recuperados o rehabilitados en el Departamento del Atlántico</t>
    </r>
  </si>
  <si>
    <t>Número total de Programas de Uso Eficiente y Ahorro del Agua (PUEAA) aprobados por la Corporación a 31/12/2025:</t>
  </si>
  <si>
    <t>En ejercicio de las labores de seguimiento y control ambiental y en cumplimiento del Decreto 1076 del 2025 “El presente decreto tiene por objeto reglamentar la Ley 373 de 1997 en lo relacionado con el Programa para el Uso Eficiente y Ahorro de Agua y aplica a las Autoridades Ambientales". En el primer semestre se reportaron ciento ochenta y ocho concesiones (188) que cuentan con PUEAA requerido, aprobado y/o en evaluación, este número al finalizar la vigencia 2025 disminuye a ciento ochenta y seis (186) por el archivo y/o perdida de la vigencia de los permisos para los usuarios: ASOCIACION ACUAPONICA DE SUAN y COMPAÑIA DE ALIMENTOS DEL CARIBE S.A.S.- COALCAR S.A.S.</t>
  </si>
  <si>
    <r>
      <t xml:space="preserve">En cumplimiento de las acciones orientadas a la conservación de especies amenazadas en el territorio, la Corporación Autónoma Regional del Atlántico – C.R.A, en articulación con autoridades ambientales, entes territoriales, organizaciones académicas y de la sociedad civil, llevó a cabo una convocatoria técnica dirigida a reunir a expertos en la temática de especies amenazadas, con el propósito de recoger insumos que permitieron  construir una metodología de trabajo para la definición de medidas de manejo y conservación de la especie </t>
    </r>
    <r>
      <rPr>
        <i/>
        <sz val="9"/>
        <color theme="1"/>
        <rFont val="Arial"/>
        <family val="2"/>
      </rPr>
      <t>Hicotea (Trachemys callirostris)</t>
    </r>
    <r>
      <rPr>
        <sz val="9"/>
        <color theme="1"/>
        <rFont val="Arial"/>
        <family val="2"/>
      </rPr>
      <t xml:space="preserve"> identificada en el departamento del Atlántico.</t>
    </r>
  </si>
  <si>
    <t>No tiene programación para la VIGENCIA 2025</t>
  </si>
  <si>
    <t>Como cumplimiento al indicador asociado al número de especies exóticas invasoras identificadas y monitoreadas en el departamento del Atlántico se determinó y  trabajó con la especie Pez León (Pterois volitans), por ser una especie invasora altamente reproductiva y voraz en el Caribe, que devora peces nativos y destruye arrecifes de coral al no tener depredadores naturales, desequilibrando ecosistemas y afectando la pesca comercial, dentro de las actividades desarrolladas que dieron soporte técnico y ecológico se llevó a cabo una convocatoria orientada a reunir expertos en la temática, con el propósito de generar  inicialmente una metodología técnica que permita seleccionar  los sitios a trabajar, análisis del estado actual de la especie invasora y el monitoreo de la especie Pez León.</t>
  </si>
  <si>
    <t>NO CUENTA CON PROGRAMACIÓN PARA LA VIGENCIA 2025</t>
  </si>
  <si>
    <t xml:space="preserve">En la vigencia 2.025, se suscribió el Convenio 009 del 2.025 “AUNAR ESFUERZOS PARA PROMOVER ACCIONES DE INTERVENCIÓN ENCAMINADAS A FOMENTAR LA CONSERVACIÓN DE ECOSISTEMAS, LA ADAPTACIÓN DE CAMBIO CLIMÁTICO Y LA RECONVENCIÓN TECNOLÓGICA GENERANDO IMPACTOS POSITIVOS AL MEDIO AMBIENTE EN EL DEPARTAMENTO DEL ATLÁNTICO”, para la Restauración, Conservación, Recuperación o Rehabilitación de Ecosistemas Terrestres en los municipios de Sabanagrande, Santo Tomás y Palmar de Varela en el departamento del Atlántico. El citado convenio cumplió el 100% de las fases de planificación, preparación y promoción.
De esta manera se realizó la restauración de 40 ha de ecosistemas degradados con la siembra y mantenimiento de dieciocho mil (18.000) árboles sembrados en los municipios de Sabanagrande, Santo Tomás y Palmar de Varela.
</t>
  </si>
  <si>
    <t>Se suscribió el Convenio 009 del 2025 “AUNAR ESFUERZOS PARA PROMOVER ACCIONES DE INTERVENCIÓN ENCAMINADAS A FOMENTAR LA CONSERVACIÓN DE ECOSISTEMAS, LA ADAPTACIÓN DE CAMBIO CLIMÁTICO Y LA RECONVENCIÓN TECNOLÓGICA GENERANDO IMPACTOS POSITIVOS AL MEDIO AMBIENTE EN EL DEPARTAMENTO DEL ATLÁNTICO”, para la Restauración, Conservación, Recuperación o Rehabilitación de Ecosistemas Terrestres en los municipios de Sabanagrande, Santo Tomás y Palmar de Varela en el departamento del Atlántico: Intervención en suelos degradados en los municipios de Sabanagrande, Santo Tomás y Palmar de Varela en el Departamento del Atlántico para Veinte (20) hectáreas de suelos degradados por erosión en los municipios de Sabanagrande, Santo Tomás y Palmar de Varela en el Departamento del Atlántico.</t>
  </si>
  <si>
    <t xml:space="preserve">En la vigencia 2.025, por medio del Convenio No. 0002 del 2025 “AUNAR ESFUERZOS PARA IMPLEMENTAR ACCIONES DIRIGIDAS A LA CONSERVACIÓN DE LA BIODIVERSIDAD MARINO-COSTERA EN EL DEPARTAMENTO DEL ATLÁNTICO”, se estableció un proceso de identificación del estado del ecosistema de manglar en el departamento del Atlántico para doce (12) hectáreas de mangle ubicadas en la zona costera en donde se adelantó el proceso de capacitación de las 30 personas, dónde se desarrolló el programa de Rehabilitación de Manglar en los municipios de Puerto Colombia, Tubará,  Juan Acosta y Piojó. 
</t>
  </si>
  <si>
    <t xml:space="preserve">En la vigencia 2.025, por medio del Convenio No. 0002 del 2025 “AUNAR ESFUERZOS PARA IMPLEMENTAR ACCIONES DIRIGIDAS A LA CONSERVACIÓN DE LA BIODIVERSIDAD MARINO-COSTERA EN EL DEPARTAMENTO DEL ATLÁNTICO”, se estableció un proceso de identificación del estado del ecosistema de manglar en el departamento del Atlántico para doce (12) hectáreas de mangle ubicadas en la zona costera en donde se adelantó el proceso de capacitación de las 30 personas, dónde se desarrolló el programa de Rehabilitación de Manglar en los municipios de Puerto Colombia, Tubará,  Juan Acosta y Piojó. </t>
  </si>
  <si>
    <t>Para la vigencia 2.025, se suscribió el Convenio 0002 del 2.025 “AUNAR ESFUERZOS PARA IMPLEMENTAR ACCIONES DIRIGIDAS A LA CONSERVACIÓN DE LA BIODIVERSIDAD MARINO-COSTERA EN EL DEPARTAMENTO DEL ATLÁNTICO”, en el marco de este convenio, como cumplimiento al indicador de acciones que promuevan la conservación del ecosistema de manglar se desarrolló  un proceso de formación que permitió fortalecer el conocimiento de la conservación del ecosistema del manglar en el departamento del Atlántico, desarrollándose  seis (06) Talleres con cuatro (4) horas de formación por cada taller, dirigidos a treinta (30) personas de las inmediaciones de zonas de manglar en el Departamento del Atlántico</t>
  </si>
  <si>
    <t xml:space="preserve">En la vigencia 2025, se suscribió el Convenio 0002 del 2025 “AUNAR ESFUERZOS PARA IMPLEMENTAR ACCIONES DIRIGIDAS A LA CONSERVACIÓN DE LA BIODIVERSIDAD MARINO-COSTERA EN EL DEPARTAMENTO DEL ATLÁNTICO”, como parte de esta ejecución se desarrollaron acciones para la ordenación del ecosistema de manglar mediante las siguientes actividades:
• Apoyar y asesorar en las actuaciones necesarias para determinar si se requiere o no llevar a cabo la consulta previa en el marco de la actualización de la zonificación del ordenamiento del Manglar. (área del manglar objeto de ordenación, originalmente generada en formato shape y consolidada en el formato solicitado y documento técnico denominado “Características del sistema socio-ecológico del manglar”.
• Identificación de comunidades y socialización del proceso de ordenación del ecosistema de manglar: identificar a las comunidades que se encuentran en las zonas del ordenamiento del manglar con la finalidad de realizar una socialización del proceso que se está adelantando, para lo cual se deberán realizar visitas de identificación.
</t>
  </si>
  <si>
    <t>Durante la vigencia 2024 se rehabilitaron 8 hectáreas de ecosistema de mangle en el Departamento del Atlántico y como parte del seguimiento y proyección de nuevas áreas de restauración, se llevaron a cabo diferentes visitas de campo en el año 2025, para este caso el proyecto "Restauración, Recuperación y Rehabilitación de Ecosistemas de Manglar”, se desarrolló  en ocho hectáreas ubicadas en Puerto Caimán, zona rural del municipio de Tubará, Atlántico; estas actividades tienen como objetivo principal restaurar la funcionalidad ecológica de los manglares degradados en esta zona, mediante la recuperación de la zona a través del establecimiento de doce mil plántulas de mangle, Zaragoza y Negro, estas actividades son consideradas como una estrategia sostenible; que ha contado con la participación activa de las comunidades locales. Esta área se enmarca dentro de la clasificación de áreas prioritarias definida por la Corporación Autónoma Regional del Atlántico (C.R.A), que identifica estas zonas como críticas para la conservación de la biodiversidad y la provisión de servicios ecosistémicos.</t>
  </si>
  <si>
    <t>OBSERVACIONES</t>
  </si>
  <si>
    <t>Mediante el convenio No. 0016 de 2025, cuyo objeto contractual es:  AUNAR ESFUERZOS PARA LA IMPLEMENTACIÓN DE PROYECTOS DE ENERGÍAS RENOVABLES Y RESTAURACIÓN ECOLÓGICA COMO ESTRATEGIAS DE ADAPTACIÓN AL CAMBIO CLIMÁTICO Y AL FORTALECIMIENTO DE ECOSISTEMAS se vienen desarrollando las actividades tendientes al cumplimiento de la meta. Al 31 de diciembre de la vigencia 2025 se tiene un avance de la misma de un 85%.</t>
  </si>
  <si>
    <t>Con la implementación de dos (2) Proyectos que promueven la implementación de comunidades energéticas en el departamento del Atlántico se cumplió la meta programada para la vigencia 2025. La Corporación en acompañamiento de la Universidad de la Costa- CUC, ejecutó la fase Teórica para la elaboración y desarrollo conceptualmente del proyecto denominado: “Valorización de residuos avícolas y porcícolas mediante digestión anaerobia potencial energético, ordenamiento ambiental y propuesta normativa para el Departamento del Atlántico-Colombia.”, como producto se espera la creación de tres (3) clústeres pecuarios que funcionen bajo los criterios de comunidad energética. 
Por otra parte, la C.R.A., desarrolló un (1) proyecto para promover la implementación de comunidades energéticas con una organización comunitaria del municipio de Palmar de Varela, beneficiando a veintidós (22) familias, representadas por un integrante de cada una de éstas.
El proyecto se desarrolló a través de un proceso de formación teórico práctico en el marco del convenio No. 005 del 2.025 cuyo objeto es: “DESARROLLO CONJUNTO DE UN PROGRAMA DE CAPACITACIÓN DIRIGIDO A ORGANIZACIONES COMUNITARIAS PARA APOYAR LA GESTIÓN AMBIENTAL EN LA CONSERVACIÓN DE ECOSISTEMAS, GESTIÓN DEL RIESGO, ECOCIRCULARIDAD, COMUNIDADES ENERGÉTICAS Y SEGURIDAD ALIMENTARIA EN LOS MUNICIPIOS DE JUAN DE ACOSTA, PALMAR DE VARELA, PUERTO COLOMBIA Y OTRAS LOCALIDADES DEL DEPARTAMENTO DEL ATLÁNTICO</t>
  </si>
  <si>
    <t>NA PARA LA VIGENCIA 2025</t>
  </si>
  <si>
    <t>Estado de avance a 31 de diciembre de 2025(c)</t>
  </si>
  <si>
    <t>Estado de avance a 31 de diciembre de 2025(%)</t>
  </si>
  <si>
    <t>La adopción del Plan de Manejo Ambiental del Sistema de Acuíferos Sabanalarga – Tubará, mediante la Resolución No.01128 del 31 de diciembre de 2025.  Este plan permite hacer una gestión sostenible del recurso hídrico subterráneo.  Este PMAA abarca los municipios de: Tubará, Juan de Acosta y Usiacurí, y en menor proporción en Baranoa y Piojó, lo anterior teniendo en cuenta que el área total que cubre el acuífero resulta ser muy extenso, por lo que se determinó formular y adoptar el PMAA en la zona con mejor calidad de información. Por lo cual se definió un área total del estudio de 78 Km2, con áreas de influencia en los mencionados municipios.</t>
  </si>
  <si>
    <t>Hicotea (Trachemys callirostris)</t>
  </si>
  <si>
    <t xml:space="preserve">Actividad 5.1.2.1. Promover la descarbonización a través de espacios de discusión técnico-científica sobre Cambio Climático que reúnan a expertos, científicos y profesionales para intercambiar conocimientos ante los desafíos, avances y soluciones en materia de cambio climático. </t>
  </si>
  <si>
    <t>Actividad 5.2.1.2. Promover el desarrollo sostenible en los diferentes sectores económicos y productivos del Departamento del Atlántico,  incorporando medidas de adaptación al cambio climático.
Meta (C): 300 unidades productivas para promover la reconversión tecnologica y actividades con impacto positivo  al medio ambiente  de los sistemas  producción ganadera tradicionales</t>
  </si>
  <si>
    <t>En  la vigencia 2025, se suscribió el convenio 0007 del 2025 “AUNAR ESFUERZO ADMINISTRATIVOS, TÉCNICOS Y FINANCIEROS PARA DESARROLLAR ACCIONES ENCAMINADAS A LA PROMOCIÓN, PROTECCIÓN Y CONSERVACIÓN DE LOS RECURSOS NATURALES Y LA BIODIVERSIDAD, A TRAVÉS DE LA IMPLEMENTACIÓN DE ESTRATEGIAS DE FORMACIÓN Y FORTALECIMIENTO EN LAS COMUNIDADES Y TERRITORIOS EN EL DEPARTAMENTO DEL ATLÁNTICO”, en el marco de este convenio, en el proceso de ejecución de acciones de conservación en las áreas protegidas declaradas en el departamento del Atlántico, se seleccionó el área protegida Reserva Forestal Protectora El Palomar ubicada en el municipio de Piojó, las actividades desarrolladas  tuvieron en cuenta el plan de acción de manejo del área tomando cinco  objetivos estratégicos .</t>
  </si>
  <si>
    <t>Área en restauración, rehabilitación o recuperación (ha) - Cuatrenio</t>
  </si>
  <si>
    <r>
      <rPr>
        <b/>
        <sz val="9"/>
        <color rgb="FF000000"/>
        <rFont val="Calibri"/>
        <family val="2"/>
        <scheme val="minor"/>
      </rPr>
      <t>Actividad 5.1.1.1</t>
    </r>
    <r>
      <rPr>
        <sz val="9"/>
        <color rgb="FF000000"/>
        <rFont val="Calibri"/>
        <family val="2"/>
        <scheme val="minor"/>
      </rPr>
      <t xml:space="preserve">. Promover la descarbonización en sectores priorizados por la Corporación en el Departamento del Atlántico
</t>
    </r>
    <r>
      <rPr>
        <b/>
        <sz val="9"/>
        <color rgb="FF000000"/>
        <rFont val="Calibri"/>
        <family val="2"/>
        <scheme val="minor"/>
      </rPr>
      <t>Meta (A):</t>
    </r>
    <r>
      <rPr>
        <sz val="9"/>
        <color rgb="FF000000"/>
        <rFont val="Calibri"/>
        <family val="2"/>
        <scheme val="minor"/>
      </rPr>
      <t xml:space="preserve"> Treinta (30) empresas con medición de huella de carbono realizadas y su Plan de gestión de GEI en la jurisdicción de la C.R.A.</t>
    </r>
  </si>
  <si>
    <r>
      <rPr>
        <b/>
        <sz val="9"/>
        <color rgb="FF000000"/>
        <rFont val="Calibri"/>
        <family val="2"/>
        <scheme val="minor"/>
      </rPr>
      <t>Actividad 5.1.1.1.</t>
    </r>
    <r>
      <rPr>
        <sz val="9"/>
        <color rgb="FF000000"/>
        <rFont val="Calibri"/>
        <family val="2"/>
        <scheme val="minor"/>
      </rPr>
      <t xml:space="preserve"> Promover la descarbonización en sectores priorizados por la Corporación en el Departamento del Atlántico
</t>
    </r>
    <r>
      <rPr>
        <b/>
        <sz val="9"/>
        <color rgb="FF000000"/>
        <rFont val="Calibri"/>
        <family val="2"/>
        <scheme val="minor"/>
      </rPr>
      <t>Meta (B)</t>
    </r>
    <r>
      <rPr>
        <sz val="9"/>
        <color rgb="FF000000"/>
        <rFont val="Calibri"/>
        <family val="2"/>
        <scheme val="minor"/>
      </rPr>
      <t xml:space="preserve"> Treinta (30) empresas con seguimiento de huella de carbono realizadas y su Plan de gestión de GEI en la jurisdicción de la C.R.A.</t>
    </r>
  </si>
  <si>
    <r>
      <rPr>
        <b/>
        <sz val="9"/>
        <color rgb="FF000000"/>
        <rFont val="Calibri"/>
        <family val="2"/>
        <scheme val="minor"/>
      </rPr>
      <t>Actividad 5.1.2.1.</t>
    </r>
    <r>
      <rPr>
        <sz val="9"/>
        <color rgb="FF000000"/>
        <rFont val="Calibri"/>
        <family val="2"/>
        <scheme val="minor"/>
      </rPr>
      <t xml:space="preserve"> Promover la descarbonización a través de espacios de discusión técnico-científica sobre Cambio Climático que reúnan a expertos, científicos y profesionales para intercambiar conocimientos ante los desafíos, avances y soluciones en materia de cambio climático. </t>
    </r>
  </si>
  <si>
    <r>
      <rPr>
        <b/>
        <sz val="9"/>
        <color rgb="FF000000"/>
        <rFont val="Calibri"/>
        <family val="2"/>
        <scheme val="minor"/>
      </rPr>
      <t>Actividad 5.2.1.2.</t>
    </r>
    <r>
      <rPr>
        <sz val="9"/>
        <color rgb="FF000000"/>
        <rFont val="Calibri"/>
        <family val="2"/>
        <scheme val="minor"/>
      </rPr>
      <t xml:space="preserve"> Promover el desarrollo sostenible en los diferentes sectores económicos y productivos del Departamento del Atlántico,  incorporando medidas de adaptación al cambio climático.
</t>
    </r>
    <r>
      <rPr>
        <b/>
        <sz val="9"/>
        <color rgb="FF000000"/>
        <rFont val="Calibri"/>
        <family val="2"/>
        <scheme val="minor"/>
      </rPr>
      <t xml:space="preserve">Meta (B): </t>
    </r>
    <r>
      <rPr>
        <sz val="9"/>
        <color rgb="FF000000"/>
        <rFont val="Calibri"/>
        <family val="2"/>
        <scheme val="minor"/>
      </rPr>
      <t xml:space="preserve">Tres (3) proyectos promovidos con acompañamiento técnico en la implementación de estrategias de adaptación al cambio climático en procesos de producción agrícola y/o forestal de productores en el Departamento del Atlántico.
</t>
    </r>
  </si>
  <si>
    <r>
      <rPr>
        <b/>
        <sz val="9"/>
        <color rgb="FF000000"/>
        <rFont val="Calibri"/>
        <family val="2"/>
        <scheme val="minor"/>
      </rPr>
      <t>Actividad 5.2.1.2</t>
    </r>
    <r>
      <rPr>
        <sz val="9"/>
        <color rgb="FF000000"/>
        <rFont val="Calibri"/>
        <family val="2"/>
        <scheme val="minor"/>
      </rPr>
      <t xml:space="preserve">. Promover el desarrollo sostenible en los diferentes sectores económicos y productivos del Departamento del Atlántico,  incorporando medidas de adaptación al cambio climático.
</t>
    </r>
    <r>
      <rPr>
        <b/>
        <sz val="9"/>
        <color rgb="FF000000"/>
        <rFont val="Calibri"/>
        <family val="2"/>
        <scheme val="minor"/>
      </rPr>
      <t>Meta (C)</t>
    </r>
    <r>
      <rPr>
        <sz val="9"/>
        <color rgb="FF000000"/>
        <rFont val="Calibri"/>
        <family val="2"/>
        <scheme val="minor"/>
      </rPr>
      <t>: Trescientas (300) unidades productivas para promover la reconversión tecnológica y actividades con impacto positivo al medio ambiente de los sistemas de producción ganadera tradicionales.</t>
    </r>
  </si>
  <si>
    <r>
      <rPr>
        <b/>
        <sz val="9"/>
        <color rgb="FF000000"/>
        <rFont val="Calibri"/>
        <family val="2"/>
        <scheme val="minor"/>
      </rPr>
      <t>Actividad 5.3.1.1:</t>
    </r>
    <r>
      <rPr>
        <sz val="9"/>
        <color rgb="FF000000"/>
        <rFont val="Calibri"/>
        <family val="2"/>
        <scheme val="minor"/>
      </rPr>
      <t xml:space="preserve"> Promover la transición energética en el departamento del Atlántico a partir del uso de Fuentes no Convencionales de Energías Renovables - FNCER mediante la implementación de proyectos que permitan ealuar la capacidad de generación de energía</t>
    </r>
  </si>
  <si>
    <r>
      <rPr>
        <b/>
        <sz val="9"/>
        <color rgb="FF000000"/>
        <rFont val="Calibri"/>
        <family val="2"/>
        <scheme val="minor"/>
      </rPr>
      <t>Actividad 5.3.1.3</t>
    </r>
    <r>
      <rPr>
        <sz val="9"/>
        <color rgb="FF000000"/>
        <rFont val="Calibri"/>
        <family val="2"/>
        <scheme val="minor"/>
      </rPr>
      <t xml:space="preserve">:  Promover la implementación de Comunidades Energéticas en el departamento del Atlántico </t>
    </r>
  </si>
  <si>
    <r>
      <rPr>
        <b/>
        <sz val="9"/>
        <color rgb="FF000000"/>
        <rFont val="Calibri"/>
        <family val="2"/>
        <scheme val="minor"/>
      </rPr>
      <t>Actividad 5.5.1.2.</t>
    </r>
    <r>
      <rPr>
        <sz val="9"/>
        <color rgb="FF000000"/>
        <rFont val="Calibri"/>
        <family val="2"/>
        <scheme val="minor"/>
      </rPr>
      <t xml:space="preserve">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t>
    </r>
  </si>
  <si>
    <r>
      <rPr>
        <b/>
        <sz val="9"/>
        <color rgb="FF000000"/>
        <rFont val="Calibri"/>
        <family val="2"/>
        <scheme val="minor"/>
      </rPr>
      <t>Actividad 5.5.2.1</t>
    </r>
    <r>
      <rPr>
        <sz val="9"/>
        <color rgb="FF000000"/>
        <rFont val="Calibri"/>
        <family val="2"/>
        <scheme val="minor"/>
      </rPr>
      <t>. Implementar acciones que fortalezcan la Resiliencia, mitigación y adaptación al cambio climático del Departamento del Atlántico</t>
    </r>
  </si>
  <si>
    <r>
      <t xml:space="preserve">
</t>
    </r>
    <r>
      <rPr>
        <b/>
        <sz val="9"/>
        <color rgb="FF000000"/>
        <rFont val="Calibri"/>
        <family val="2"/>
        <scheme val="minor"/>
      </rPr>
      <t>Actividad 5.5.2.2</t>
    </r>
    <r>
      <rPr>
        <sz val="9"/>
        <color rgb="FF000000"/>
        <rFont val="Calibri"/>
        <family val="2"/>
        <scheme val="minor"/>
      </rPr>
      <t xml:space="preserve">. Realizar seguimiento a las obras de recuperación ambiental del Arroyo El Platanal Ubicado en el Municipio de Soledad. (Relevancia: PNGIRH) </t>
    </r>
  </si>
  <si>
    <r>
      <rPr>
        <b/>
        <sz val="9"/>
        <color rgb="FF000000"/>
        <rFont val="Calibri"/>
        <family val="2"/>
        <scheme val="minor"/>
      </rPr>
      <t xml:space="preserve">Actividad 5.5.2.3. </t>
    </r>
    <r>
      <rPr>
        <sz val="9"/>
        <color rgb="FF000000"/>
        <rFont val="Calibri"/>
        <family val="2"/>
        <scheme val="minor"/>
      </rPr>
      <t>Realizar seguimiento ambiental a las Obras de canalización de los arroyos del Distrito de Barranquilla.</t>
    </r>
  </si>
  <si>
    <r>
      <rPr>
        <b/>
        <sz val="8"/>
        <color theme="1"/>
        <rFont val="Calibri"/>
        <family val="2"/>
        <scheme val="minor"/>
      </rPr>
      <t>LINEA DE SOSTENIBILIDAD DEL RECURSO HIDRICO
PROYECTO 1.1.2. ADMINISTRACIÓN DEL RECURSO HÍDRICO</t>
    </r>
    <r>
      <rPr>
        <sz val="8"/>
        <color theme="1"/>
        <rFont val="Calibri"/>
        <family val="2"/>
        <scheme val="minor"/>
      </rPr>
      <t xml:space="preserve">
</t>
    </r>
    <r>
      <rPr>
        <b/>
        <sz val="8"/>
        <color theme="1"/>
        <rFont val="Calibri"/>
        <family val="2"/>
        <scheme val="minor"/>
      </rPr>
      <t>ACCIÓN ESTRATÉGICA 1.1.2.1</t>
    </r>
    <r>
      <rPr>
        <sz val="8"/>
        <color theme="1"/>
        <rFont val="Calibri"/>
        <family val="2"/>
        <scheme val="minor"/>
      </rPr>
      <t xml:space="preserve">. Reglamentar el uso del recurso hídrico de los cuerpos de agua en el Departamento del Atlántico. 
</t>
    </r>
    <r>
      <rPr>
        <b/>
        <sz val="8"/>
        <color theme="1"/>
        <rFont val="Calibri"/>
        <family val="2"/>
        <scheme val="minor"/>
      </rPr>
      <t>META</t>
    </r>
    <r>
      <rPr>
        <sz val="8"/>
        <color theme="1"/>
        <rFont val="Calibri"/>
        <family val="2"/>
        <scheme val="minor"/>
      </rPr>
      <t xml:space="preserve">: Una (1) reglamentación del uso del recurso hídrico de los cuerpos de agua en el Departamento del Atlántico realizada (Vertimientos del Arroyo León). 
</t>
    </r>
    <r>
      <rPr>
        <b/>
        <sz val="8"/>
        <color theme="1"/>
        <rFont val="Calibri"/>
        <family val="2"/>
        <scheme val="minor"/>
      </rPr>
      <t xml:space="preserve">INDICADOR: </t>
    </r>
    <r>
      <rPr>
        <sz val="8"/>
        <color theme="1"/>
        <rFont val="Calibri"/>
        <family val="2"/>
        <scheme val="minor"/>
      </rPr>
      <t xml:space="preserve">Número de reglamentaciones del uso del recurso hídrico de los cuerpos de agua en el Departamento del Atlántico realizada. 
</t>
    </r>
    <r>
      <rPr>
        <b/>
        <sz val="8"/>
        <color theme="1"/>
        <rFont val="Calibri"/>
        <family val="2"/>
        <scheme val="minor"/>
      </rPr>
      <t>AVANCE 2025:</t>
    </r>
    <r>
      <rPr>
        <sz val="8"/>
        <color theme="1"/>
        <rFont val="Calibri"/>
        <family val="2"/>
        <scheme val="minor"/>
      </rPr>
      <t xml:space="preserve"> A esta meta se le da cumplimiento con la ejecución del Contrato No.0326 de 2025 cuyo objeto es: “REALIZAR UN ESTUDIO HIDROSEDIMENTOLÓGICO COMO INSUMO PARA DESARROLLAR LA REGLAMENTACIÓN POR VERTIMIENTOS DEL RECURSO HÍDRICO DEL ARROYO LEÓN Y LA IMPLEMENTACIÓN DEL DECRETO 1553 DE 2024 PARA LA LIQUIDACIÓN DE LA TASA RETRIBUTIVA EN EL DEPARTAMENTO DEL ATLÁNTICO.”, suscrito entre la C.R.A. y el Consorcio SICC del Caribe.  Este contrato cuenta con un periodo de ejecución de diez (10) meses, y cuenta con acta de inicio de fecha 10 de octubre de 2025.  
A corte 31 de diciembre de 2025, la meta cuenta con un porcentaje de ejecución del treinta por ciento (30%), representado en las actividades previas de preparación del cronograma de activades y plan de trabajo.
</t>
    </r>
  </si>
  <si>
    <t>(1) ESTRUCTURA PLAN DE ACCIÓN INSTITUCIONAL 2024 -2027</t>
  </si>
  <si>
    <t xml:space="preserve">Durante el 2021, a través de Resolución No. 0691 del 2021 se adoptaron los PORH de las ciénagas de Sabanagrande, Santo Tomás y Palmar de Varela que se formularon en el 2020
Para la vigencia 2022, se formuló el PORH Ciénaga de Malambo, el cual tenía programación de ejecución para vigencia 2021, siendo adoptado en el 2023 cumpliéndose en rezago (Res.0589 de 2023). 
Para la vigencia 2023, se formuló y se adoptó el PORH de la Ciénaga La Bahía (Res. 01095 de 2023).
En la vigencia 2024 no se programó adopción de PORH, de acuerdo con el PAI 2024-2027 se adoptó 1 PORH en la vigencia 2025 correspondiente a la Cienaga de Convento  siendo aoptado con la Resolución 1138 de 2025 y  queda en programación 1 PORH en la vigencia 2026 correspondiente  a la cienaga de  Totumo.   </t>
  </si>
  <si>
    <t>Número total de cuerpos de agua sujeto de reglamentación de planes de ordenamiento del recurso hídrico (PORH) adoptados a 31/12/2025:</t>
  </si>
  <si>
    <t>Número total de cuerpos de agua con reglamentación del uso de las aguas a 31/12/2025:</t>
  </si>
  <si>
    <t xml:space="preserve">A 31 de diciembre de 2025 la meta se encuentra cumplida en el 100%, dado que se asistieron los 23 entes territoriales para el conocimiento y reducción del riesgo de desastres e incorporación de la gestión del riesgo en el ordenamiento territorial.
Para lo cual se adelantaron mesas de trabajo con los delegados de cada municipio, para la incorporación de la gestión del riesgo y la adaptación al cambio climático en los procesos de revisión y ajuste de los respectivos POT.
Dentro de las actividades desarrolladas, se remitieron los oficios de invitación a los municipios para las jornadas de asistencia técnica en la incorporación de las determinantes ambientales, gestión del riesgo y cambio climático en el ordenamiento territorial.
</t>
  </si>
  <si>
    <t>Superficie de áreas protegidas inscritas en el RUNAP a 31/12/2025 (ha)</t>
  </si>
  <si>
    <t>Superficie total del Plan de Ordenación Forestal a 31/12/2025 (ha)</t>
  </si>
  <si>
    <t xml:space="preserve">
Línea Estratégica No. 2: Gestión para la Conservación Sostenible de los Recursos Naturales
Programa 2.1:  Biodiversidad y riqueza de los Ecosistemas Terrestres y Marino Costeros
Proyecto 2.1.2. Fortalecimiento de herramientas para la Gobernanza Forestal
Actividad 2.1.2.1. : Ajustar el Plan de Ordenamiento Forestal</t>
  </si>
  <si>
    <r>
      <rPr>
        <b/>
        <sz val="10"/>
        <color theme="1"/>
        <rFont val="Calibri"/>
        <family val="2"/>
        <scheme val="minor"/>
      </rPr>
      <t>Línea Estratégica No 4</t>
    </r>
    <r>
      <rPr>
        <sz val="10"/>
        <color theme="1"/>
        <rFont val="Calibri"/>
        <family val="2"/>
        <scheme val="minor"/>
      </rPr>
      <t xml:space="preserve">. Sostenibilidad sectorial
</t>
    </r>
    <r>
      <rPr>
        <b/>
        <sz val="10"/>
        <color theme="1"/>
        <rFont val="Calibri"/>
        <family val="2"/>
        <scheme val="minor"/>
      </rPr>
      <t xml:space="preserve">Programa 4.3. </t>
    </r>
    <r>
      <rPr>
        <sz val="10"/>
        <color theme="1"/>
        <rFont val="Calibri"/>
        <family val="2"/>
        <scheme val="minor"/>
      </rPr>
      <t xml:space="preserve">VELA: Vigilar y evaluar la legalidad ambiental 
</t>
    </r>
    <r>
      <rPr>
        <b/>
        <sz val="10"/>
        <color theme="1"/>
        <rFont val="Calibri"/>
        <family val="2"/>
        <scheme val="minor"/>
      </rPr>
      <t>Proyecto 4.3.1.</t>
    </r>
    <r>
      <rPr>
        <sz val="10"/>
        <color theme="1"/>
        <rFont val="Calibri"/>
        <family val="2"/>
        <scheme val="minor"/>
      </rPr>
      <t xml:space="preserve">Evaluación, Seguimiento y Control. 
</t>
    </r>
    <r>
      <rPr>
        <b/>
        <sz val="10"/>
        <color theme="1"/>
        <rFont val="Calibri"/>
        <family val="2"/>
        <scheme val="minor"/>
      </rPr>
      <t>Actividad 4.3.1.1</t>
    </r>
    <r>
      <rPr>
        <sz val="10"/>
        <color theme="1"/>
        <rFont val="Calibri"/>
        <family val="2"/>
        <scheme val="minor"/>
      </rPr>
      <t xml:space="preserve">. Realizar la evaluación de los instrumentos de control ambiental
</t>
    </r>
    <r>
      <rPr>
        <b/>
        <sz val="10"/>
        <color theme="1"/>
        <rFont val="Calibri"/>
        <family val="2"/>
        <scheme val="minor"/>
      </rPr>
      <t xml:space="preserve">Meta (A): </t>
    </r>
    <r>
      <rPr>
        <sz val="10"/>
        <color theme="1"/>
        <rFont val="Calibri"/>
        <family val="2"/>
        <scheme val="minor"/>
      </rPr>
      <t xml:space="preserve">Cien por ciento (100%) de los trámites ambientales para Licencia Ambiental dentro de los tiempos establecidos por Ley
</t>
    </r>
    <r>
      <rPr>
        <b/>
        <sz val="10"/>
        <color theme="1"/>
        <rFont val="Calibri"/>
        <family val="2"/>
        <scheme val="minor"/>
      </rPr>
      <t xml:space="preserve">Meta (B): </t>
    </r>
    <r>
      <rPr>
        <sz val="10"/>
        <color theme="1"/>
        <rFont val="Calibri"/>
        <family val="2"/>
        <scheme val="minor"/>
      </rPr>
      <t xml:space="preserve">Cien por ciento (100%) de los trámites ambientales para Concesiones de Agua dentro de los tiempos establecidos por Ley
</t>
    </r>
    <r>
      <rPr>
        <b/>
        <sz val="10"/>
        <color theme="1"/>
        <rFont val="Calibri"/>
        <family val="2"/>
        <scheme val="minor"/>
      </rPr>
      <t>Meta (C):</t>
    </r>
    <r>
      <rPr>
        <sz val="10"/>
        <color theme="1"/>
        <rFont val="Calibri"/>
        <family val="2"/>
        <scheme val="minor"/>
      </rPr>
      <t xml:space="preserve"> Cien por ciento (100%) de los trámites ambientales para vertimiento dentro de los tiempos establecidos por Ley
</t>
    </r>
    <r>
      <rPr>
        <b/>
        <sz val="10"/>
        <color theme="1"/>
        <rFont val="Calibri"/>
        <family val="2"/>
        <scheme val="minor"/>
      </rPr>
      <t>Meta (D):</t>
    </r>
    <r>
      <rPr>
        <sz val="10"/>
        <color theme="1"/>
        <rFont val="Calibri"/>
        <family val="2"/>
        <scheme val="minor"/>
      </rPr>
      <t xml:space="preserve"> Cien por ciento (100%) de los trámites ambientales para Aprovechamiento Forestal dentro de los tiempos establecidos por Ley
</t>
    </r>
    <r>
      <rPr>
        <b/>
        <sz val="10"/>
        <color theme="1"/>
        <rFont val="Calibri"/>
        <family val="2"/>
        <scheme val="minor"/>
      </rPr>
      <t xml:space="preserve">Meta (E): </t>
    </r>
    <r>
      <rPr>
        <sz val="10"/>
        <color theme="1"/>
        <rFont val="Calibri"/>
        <family val="2"/>
        <scheme val="minor"/>
      </rPr>
      <t xml:space="preserve">Cien por ciento (100%) de los trámites ambientales para Emisiones Atmosféricas dentro de los tiempos establecidos por Ley
</t>
    </r>
  </si>
  <si>
    <t>Número total de licencias ambientales vigentes y aprobadas por la Corporación a 31/12/2025:</t>
  </si>
  <si>
    <t>Año 2- 2025</t>
  </si>
  <si>
    <t>Residuos</t>
  </si>
  <si>
    <t>Construcción</t>
  </si>
  <si>
    <t>Número de usuarios de agua a 31/12/2025</t>
  </si>
  <si>
    <t>Número de concesiones de agua otorgadas a 31/12/2025</t>
  </si>
  <si>
    <t>Año 2 - 2025</t>
  </si>
  <si>
    <t>Número de usuarios de vertimientos de agua a 31/12/2025</t>
  </si>
  <si>
    <t>Número de permisos de vertimiento de agua otorgadas a 31/12/2025</t>
  </si>
  <si>
    <t>Número de usuarios de permisos de aprovechamiento forestal a 31/12/2025</t>
  </si>
  <si>
    <t>Número de usuarios de permisos de emisiones atmosféricas a 31/12/2025</t>
  </si>
  <si>
    <t>Número de permisos de emisiones atmosféricas vigentes a 31/12/2025</t>
  </si>
  <si>
    <t>Número de permisos de aprovechamiento forestal vigentes a 31/12/2025</t>
  </si>
  <si>
    <t>Número de puntos de vertimientos a 31/12/2025</t>
  </si>
  <si>
    <t>Año 2 -2025</t>
  </si>
  <si>
    <r>
      <rPr>
        <b/>
        <sz val="10"/>
        <color theme="1"/>
        <rFont val="Calibri"/>
        <family val="2"/>
        <scheme val="minor"/>
      </rPr>
      <t>* SISAIRE</t>
    </r>
    <r>
      <rPr>
        <sz val="10"/>
        <color theme="1"/>
        <rFont val="Calibri"/>
        <family val="2"/>
        <scheme val="minor"/>
      </rPr>
      <t>: El SVCA consta de siete estaciones, actualmente se encuentran instaladas y en funcionamiento dos (2) estaciones, ubicadas en los Municipios de Soledad (EDUMAS) y Malambo (SECRETARIA DE TRANSITO MALAMBO), operando bajo los estándares técnicos establecidos por la normatividad ambiental colombiana, con especial énfasis en el monitoreo de material particulado PM10, considerado uno de los contaminantes de mayor relevancia para la salud pública en la región. Se espera que las otras cinco (5) estaciones queden instaladas y en funcionamiento en la vigencia 2026.</t>
    </r>
  </si>
  <si>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 xml:space="preserve">Programa 2.2  </t>
    </r>
    <r>
      <rPr>
        <sz val="10"/>
        <color theme="1"/>
        <rFont val="Calibri"/>
        <family val="2"/>
        <scheme val="minor"/>
      </rPr>
      <t xml:space="preserve"> : Estrategias Regionales de Conservación 
</t>
    </r>
    <r>
      <rPr>
        <b/>
        <sz val="10"/>
        <color theme="1"/>
        <rFont val="Calibri"/>
        <family val="2"/>
        <scheme val="minor"/>
      </rPr>
      <t>Proyecto 2.2.1</t>
    </r>
    <r>
      <rPr>
        <sz val="10"/>
        <color theme="1"/>
        <rFont val="Calibri"/>
        <family val="2"/>
        <scheme val="minor"/>
      </rPr>
      <t xml:space="preserve"> : Áreas Protegidas
</t>
    </r>
    <r>
      <rPr>
        <b/>
        <sz val="10"/>
        <color theme="1"/>
        <rFont val="Calibri"/>
        <family val="2"/>
        <scheme val="minor"/>
      </rPr>
      <t xml:space="preserve">Actividad: 2.2.1.2. </t>
    </r>
    <r>
      <rPr>
        <sz val="10"/>
        <color theme="1"/>
        <rFont val="Calibri"/>
        <family val="2"/>
        <scheme val="minor"/>
      </rPr>
      <t>Elaborar o actualizar los Planes de Manejo de las Áreas Protegidas del departamento</t>
    </r>
    <r>
      <rPr>
        <b/>
        <sz val="10"/>
        <color theme="1"/>
        <rFont val="Calibri"/>
        <family val="2"/>
        <scheme val="minor"/>
      </rPr>
      <t xml:space="preserve">
Actividad 2.2.1.3. </t>
    </r>
    <r>
      <rPr>
        <sz val="10"/>
        <color theme="1"/>
        <rFont val="Calibri"/>
        <family val="2"/>
        <scheme val="minor"/>
      </rPr>
      <t>Ejecutar acciones contempladas en los planes de manejo de las áreas protegidas declaradas en el departamento</t>
    </r>
  </si>
  <si>
    <t>Número de áreas protegidas inscritas en el RUNAP a 31/12/2025 (número)</t>
  </si>
  <si>
    <t>Número total de áreas protegidas regionales declaradas, homologadas o recategorizadas, e inscritas en el RUNAP a 31/12/2025 (número)</t>
  </si>
  <si>
    <t>Superficie total de áreas protegidas regionales declaradas, homologadas o recategorizadas, inscritas en el RUNAP a 31/12/2025 (ha) (C+D)</t>
  </si>
  <si>
    <t>Acuerdo No.0005 del 07 de mayo del 2024 del Consejo Directivo de la C.R.A. por medio del cual se aprueba el Plan de Acción Institucional 2024 - 2027 con la programación para el cumplimiento de este indicador. Se programó declarar 1 área protegida en la vigencia 2025, correspondiente al Cerro La Vieja, la cual se logró declarar bajo el Acuerdo No. 00031 de 2025 “POR MEDIO EL CUAL SE DECLARA EL CERRO LA VIEJA UBICADO EN EL MUNICIPIO DE PIOJÓ, DEPARTAMENTO DEL ATLÁNTICO,  COMO DISTRITO REGIONAL DE  MANEJO INTEGRADO (DRMI).</t>
  </si>
  <si>
    <t xml:space="preserve">El Plan de Ordenamiento Forestal fue adoptado a través de la Resolución No.859 del 2018 de la C.R.A., se contempló actualizar el mismo durante la vigencia del próximo Plan de Acción 2024-2027.
En la vigencia 2.025 se suscribió el Convenio 014 del 2025 “AUNAR ESFUERZOS ADMINISTRATIVOS, TÉCNICOS Y FINANCIEROS PARA EL AJUSTE AL PLAN DE ORDENAMIENTO FORESTAL DE LA CORPORACIÓN AUTÓNOMA REGIONAL DEL ATLÁNTICO - CRA, A TRAVÉS DE LA CARACTERIZACIÓN, DIAGNÓSTICO Y ACTUALIZACIÓN DE LOS INSTRUMENTOS DE ORDENACIÓN FORESTAL DEL ÁREA DE SU JURISDICCIÓN, ORIENTADO AL FORTALECIMIENTO DE LA GESTIÓN Y LA GOBERNANZA”, 
</t>
  </si>
  <si>
    <t>Se adelantó seguimiento al estado de cumplimiento de los 23 municipios objeto de aplicación del plan de saneamiento y manejo de vertimientos - PSMV, de los cuales 22 se encuentran vigentes (Soledad, Galapa, Puerto Colombia, Santo Tomás, Sabanagrande, Polonuevo, Sabanalarga, Baranoa, Tubará, Palmar de Varela, Barranquilla, Usiacurí, Campo de la Cruz, Candelaria, Santa Lucía, Piojó , Juan de Acosta, Manatí, Repelón, Luruaco, Malambo, Ponedera).</t>
  </si>
  <si>
    <r>
      <t>La adopción del Plan de Manejo Ambiental del</t>
    </r>
    <r>
      <rPr>
        <b/>
        <sz val="8"/>
        <rFont val="Arial"/>
        <family val="2"/>
      </rPr>
      <t xml:space="preserve"> Sistema de Acuíferos Sabanalarga – Tubará, mediante la Resolución No.01128 del 31 de diciembre de 2025</t>
    </r>
    <r>
      <rPr>
        <sz val="8"/>
        <rFont val="Arial"/>
        <family val="2"/>
      </rPr>
      <t>.  Este plan permite hacer una gestión sostenible del recurso hídrico subterráneo.  Este PMAA abarca los municipios de: Tubará, Juan de Acosta y Usiacurí, y en menor proporción en Baranoa y Piojó, lo anterior teniendo en cuenta que el área total que cubre el acuífero resulta ser muy extenso, por lo que se determinó formular y adoptar el PMAA en la zona con mejor calidad de información. Por lo cual se definió un área total del estudio de 78 Km2, con áreas de influencia en los mencionados municipios.</t>
    </r>
  </si>
  <si>
    <t>Meta programada en el PAI 2024-2027 a partir de la vigencia 2025</t>
  </si>
  <si>
    <t>En seguimiento a las metas de aprovechamiento del Plan de Gestión Integral de Residuos Sólidos (PGIRS) municipales de la jurisdicción de la C.R.A, para la vigencia 2025, se realizaron veintidós (22) visitas de seguimiento.</t>
  </si>
  <si>
    <t>Para el cumplimiento de esta meta se realizó la planificación de las actividades a desarrollarse. Se remitieron los oficios de invitación a los municipios para las jornadas de asistencia técnica en la incorporación de las determinantes ambientales, gestión del riesgo y cambio climático en el ordenamiento territorial, para la vigencia 2025.</t>
  </si>
  <si>
    <r>
      <rPr>
        <b/>
        <sz val="10"/>
        <color theme="1"/>
        <rFont val="Calibri"/>
        <family val="2"/>
        <scheme val="minor"/>
      </rPr>
      <t xml:space="preserve">Línea Estratégica No. 2: </t>
    </r>
    <r>
      <rPr>
        <sz val="10"/>
        <color theme="1"/>
        <rFont val="Calibri"/>
        <family val="2"/>
        <scheme val="minor"/>
      </rPr>
      <t xml:space="preserve">Gestión para la Conservación Sostenible de los Recursos Naturales
</t>
    </r>
    <r>
      <rPr>
        <b/>
        <sz val="10"/>
        <color theme="1"/>
        <rFont val="Calibri"/>
        <family val="2"/>
        <scheme val="minor"/>
      </rPr>
      <t xml:space="preserve">Programa 2.2: </t>
    </r>
    <r>
      <rPr>
        <sz val="10"/>
        <color theme="1"/>
        <rFont val="Calibri"/>
        <family val="2"/>
        <scheme val="minor"/>
      </rPr>
      <t xml:space="preserve"> Estrategias de Conservación 
</t>
    </r>
    <r>
      <rPr>
        <b/>
        <sz val="10"/>
        <color theme="1"/>
        <rFont val="Calibri"/>
        <family val="2"/>
        <scheme val="minor"/>
      </rPr>
      <t>Proyecto 2.2.2</t>
    </r>
    <r>
      <rPr>
        <sz val="10"/>
        <color theme="1"/>
        <rFont val="Calibri"/>
        <family val="2"/>
        <scheme val="minor"/>
      </rPr>
      <t xml:space="preserve">. Negocios Verdes
</t>
    </r>
    <r>
      <rPr>
        <b/>
        <sz val="10"/>
        <color theme="1"/>
        <rFont val="Calibri"/>
        <family val="2"/>
        <scheme val="minor"/>
      </rPr>
      <t xml:space="preserve">Actividad 2.2.2.1. </t>
    </r>
    <r>
      <rPr>
        <sz val="10"/>
        <color theme="1"/>
        <rFont val="Calibri"/>
        <family val="2"/>
        <scheme val="minor"/>
      </rPr>
      <t xml:space="preserve">Implementar el Plan Nacional de Negocios Verdes 
</t>
    </r>
    <r>
      <rPr>
        <b/>
        <sz val="10"/>
        <color theme="1"/>
        <rFont val="Calibri"/>
        <family val="2"/>
        <scheme val="minor"/>
      </rPr>
      <t>Meta (A) :</t>
    </r>
    <r>
      <rPr>
        <sz val="10"/>
        <color theme="1"/>
        <rFont val="Calibri"/>
        <family val="2"/>
        <scheme val="minor"/>
      </rPr>
      <t xml:space="preserve"> Cuarenta y nueve (49) nuevos Negocios Verdes Verificados (Emprendimiento, Empresas Avaladas/No Avaladas, Empresas Ancla) según meta establecida por el MADS
</t>
    </r>
    <r>
      <rPr>
        <b/>
        <sz val="10"/>
        <color theme="1"/>
        <rFont val="Calibri"/>
        <family val="2"/>
        <scheme val="minor"/>
      </rPr>
      <t xml:space="preserve">Meta (B): </t>
    </r>
    <r>
      <rPr>
        <sz val="10"/>
        <color theme="1"/>
        <rFont val="Calibri"/>
        <family val="2"/>
        <scheme val="minor"/>
      </rPr>
      <t xml:space="preserve"> Setenta y ún (71) Negocios Verdes existentes y verificados con seguimiento (Emprendimiento, Empresas Avaladas/No Avaladas, Empresas Ancla), durante el cuatrienio
</t>
    </r>
    <r>
      <rPr>
        <b/>
        <sz val="10"/>
        <color theme="1"/>
        <rFont val="Calibri"/>
        <family val="2"/>
        <scheme val="minor"/>
      </rPr>
      <t>Meta (C):</t>
    </r>
    <r>
      <rPr>
        <sz val="10"/>
        <color theme="1"/>
        <rFont val="Calibri"/>
        <family val="2"/>
        <scheme val="minor"/>
      </rPr>
      <t xml:space="preserve">  Cuatro (4) acciones estratégicas que permitan desarrollar procesos para el fomento y fortalecimiento de los Negocios Verdes verificados ejecutadas</t>
    </r>
  </si>
  <si>
    <t xml:space="preserve">Subdirectora de Gestión Ambiental </t>
  </si>
  <si>
    <t>COMPORTAMIENTO META FISICA 
PLAN DE ACCION</t>
  </si>
  <si>
    <t>COMPORTAMIENTO META FINANCIERA</t>
  </si>
  <si>
    <t>(1) ESTRUCTURA PLAN DE ACCIÓN INSTITUCIONAL 2024 - 2027</t>
  </si>
  <si>
    <t xml:space="preserve">   (2) UNIDAD DE MEDIDA</t>
  </si>
  <si>
    <t>(3) META FISICA ANUAL
 (Según unidad de medida)</t>
  </si>
  <si>
    <t>(4) AVANCE EJECUCIÓN DE LA META
FISICA  
(Según unidad de medida y Periodo Evaluado)</t>
  </si>
  <si>
    <t>(5) AVANCE DEL REZAGO DE LA META FISICA 
(Según unidad de medida y Periodo Evaluado)</t>
  </si>
  <si>
    <t>(6) PORCENTAJE DE AVANCE FISICO %
(Periodo Evaluado)
((4/3)*100)</t>
  </si>
  <si>
    <t>(7) DESCRIPCIÓN DEL AVANCE 
(Describir brevemente el avance de la meta física registrado)</t>
  </si>
  <si>
    <t xml:space="preserve">(8) FECHA DE EJECUCION DE LA EVIDENCIA </t>
  </si>
  <si>
    <t xml:space="preserve"> (9) META FISICA DEL PAC (Según unidad de medida)</t>
  </si>
  <si>
    <t>(10) AVANCE ACUMULADO DE LA META FISICA (Según unidad de medida)</t>
  </si>
  <si>
    <t>(11) PORCENTAJE DE AVANCE FISICO ACUMULADO % 
((11/10)*100)</t>
  </si>
  <si>
    <t>(12)               PONDERACIONES PAC</t>
  </si>
  <si>
    <t>(13) PONDERACIÓN ANUAL DE PROGRAMAS  Y PROYECTOS VIGENCIA OBJETO DE REPORTE</t>
  </si>
  <si>
    <t>(14) META FINANCIERA ANUAL  ($)</t>
  </si>
  <si>
    <t>(15) AVANCE DE LOS RECURSOS COMPROMETIDOS (Recursos comprometidos periodo Evaluado) ($)</t>
  </si>
  <si>
    <t>(16)  PORCENTAJE DEL AVANCE DE COMPROMISOS % (Periodo Evaluado) 
((15/14)*100)</t>
  </si>
  <si>
    <t>(17) AVANCE DE LOS RECURSOS OBLIGADOS $</t>
  </si>
  <si>
    <t>(18) PORCENTAJE DE AVANCE DE LOS RECURSOS OBLIGADOS (AVANCE FINANCIERO) ((17/14)*100)</t>
  </si>
  <si>
    <t>(19) RESERVA PRESUPUESTAL $
(15-17)</t>
  </si>
  <si>
    <t>(20) OBLIGACIONES DE LA RESERVA
 $</t>
  </si>
  <si>
    <t>(21) PORCENTAJE DE AVANCE EJECUCIÓN DE LA RESERVA $
(20/19)</t>
  </si>
  <si>
    <t>(22) 
META FINANCIERA DEL PAC            ($)</t>
  </si>
  <si>
    <t>(23) 
AVANCE ACUMULADO DE LREC. COMPROMETIDOS $</t>
  </si>
  <si>
    <t>(24)
PORCENTAJE DE  AVANCE RECURSOS COMPROMETIDOS %
(23/22)</t>
  </si>
  <si>
    <t>(25) AVANCE 
ACUMULADO DE LA EJECUCIÓN DE META FINANCIERA (REC. OBLIGADOS) $</t>
  </si>
  <si>
    <t>(26)
PORCENTAJE DE  AVANCE FINANCIERO ACUMULADO %
((25/22)*100)</t>
  </si>
  <si>
    <t>(27)
OBSERVACIONES</t>
  </si>
  <si>
    <t>(28)
PROGRAMA DE INVERSIÓN PUBLICA A LA QUE APORTA</t>
  </si>
  <si>
    <t>(29)
IMG AL QUE  APORTA</t>
  </si>
  <si>
    <t>(30)
INDICADOR ODS AL QUE LE APORTA</t>
  </si>
  <si>
    <t>2024-2027</t>
  </si>
  <si>
    <t>LINEA ESTRATEGICA 1. GESTIÓN PARA LA SOSTENIBILIDAD DEL RECURSO HÍDRICO</t>
  </si>
  <si>
    <t>PROGRAMA 1.1.GHI: GESTIÓN HÍDRICA INTEGRAL</t>
  </si>
  <si>
    <t xml:space="preserve">Proyecto 1.1.1. Planificación del recurso hídrico </t>
  </si>
  <si>
    <t>1.1.1.1. Acciones dirigidas a formular, ajustar o actualizar los planes de ordenación y manejo de cuencas (POMCA Ciénaga de Mallorquín, POMCA Complejo de humedales de la Vertiente Occidental del Río Magdalena y POMCA Arroyos Directos al Mar Caribe)</t>
  </si>
  <si>
    <t>Número de acciones dirigidas a formular, ajustar o actualizar los planes de ordenación y manejo de cuencas (POMCAS)</t>
  </si>
  <si>
    <t>Número</t>
  </si>
  <si>
    <t>Durante la vigencia 2.025, a corte 31 de diciembre se dio cumplimiento a la meta programada. Al cierre de dicha vigencia se tiene un 85% de avance en la ejecución del Contrato 0466-2.024, cuyo objeto es la revisión y ajuste del POMCA de la Ciénaga de Mallorquín y los Arroyos Grande y León. iniciado el 03 de octubre del año 2024, tenía una vigencia inicial de 14 meses, es decir, finalizaba el 02 de diciembre del año 2025. Teniendo en cuenta algunas situaciones imprevistas dentro de la ejecución, resultado de la búsqueda y estructuración de la información, las continuas solicitudes y derechos de petición de la comunidad, lideres y lideresas ambientales, así como el aumento del número de espacios de participación democrática, entre otras situaciones, fue necesario ampliar en tiempo, la ejecución del contrato, por un periodo de Ochenta días, en ese orden, el nuevo tiempo de finalización es el 20 de febrero del año 2026.</t>
  </si>
  <si>
    <t>3203 Gestión integral del recurso hídrico</t>
  </si>
  <si>
    <t>Avance en la formulación, ajuste y/o actualización de los Planes de Ordenación y Manejo de Cuencas (POMCAS)</t>
  </si>
  <si>
    <t>Planes de Ordenación y Manejo de Cuencas Hidrográficas (POMCA) formulados en el territorio nacional</t>
  </si>
  <si>
    <t>1.1.1.2. Hacer seguimiento a la ejecución de los componentes programáticos y de gestión del riesgo de los Planes de ordenación y manejo de cuencas (POMCA Ciénaga de Mallorquín, POMCA Canal del Dique)</t>
  </si>
  <si>
    <t>Número de planes de ordenación y manejo de cuencas (POMCAS)  con seguimiento a la ejecución</t>
  </si>
  <si>
    <t>Al cierre de la vigencia 2025 se dio cumplimiento a la meta programada para la misma. El POMCA de la ciénaga de Mallorquín y los Arroyos Grande y León se encuentra en revisión y ajuste, a través del contrato No. 00466 del 2024.
A corte 31 de diciembre, el seguimiento a este POMCA se basó en la revisión y ajuste, a la fecha señalada se cumplieron las etapas de Aprestamiento, Diagnóstico, Prospectiva y Zonificación y se encuentra en ejecución la etapa de Formulación.</t>
  </si>
  <si>
    <t>Avance de la ejecución de los componentes programáticos y de gestión del riesgo de los Planes de Ordenación y Manejo de Cuencas Hidrográficas – POMCA</t>
  </si>
  <si>
    <t>Planes de Ordenación y Manejo de Cuencas Hidrográficas (POMCA) en implementación en el territorio nacional</t>
  </si>
  <si>
    <t>1.1.1.3. Formular el Plan de manejo de la ciénaga Uvero</t>
  </si>
  <si>
    <t xml:space="preserve">Número de planes de manejo de humedales formulados </t>
  </si>
  <si>
    <t>PROPIO</t>
  </si>
  <si>
    <t>1.1.1.4. Formular el Plan de manejo del Acuífero Sabanalarga - Tubará</t>
  </si>
  <si>
    <t>Número de planes de manejo de acuíferos formulados</t>
  </si>
  <si>
    <t>Avance en la formulación y/o ajuste de los Planes de Manejo Ambiental de Acuíferos (PMAA)</t>
  </si>
  <si>
    <t>1.1.1.5. Hacer seguimiento a la ejecución del Plan de manejo del Acuífero Sabanalarga - Tubará</t>
  </si>
  <si>
    <t xml:space="preserve">Número de acciones de seguimiento al Plan de manejo de acuíferos </t>
  </si>
  <si>
    <t>A corte 31 de diciembre de 2025, la meta se encuentra cumplida con la adopción del Plan de Manejo Ambiental del Sistema de Acuíferos Sabanalarga – Tubará, mediante la Resolución No.01128 del 31 de diciembre de 2025. Este plan permite hacer una gestión sostenible del recurso hídrico subterráneo. Este PMAA abarca los municipios de: Tubará, Juan de Acosta y Usiacurí, y en menor proporción en Baranoa y Piojó, lo anterior teniendo en cuenta que el área total que cubre el acuífero resulta ser muy extenso, por lo que se determinó formular y adoptar el PMAA en la zona con mejor calidad de información. Por lo cual se definió un área total del estudio de 78 Km2, con áreas de influencia en los mencionados municipios</t>
  </si>
  <si>
    <t>Planes de Manejo Ambiental de Acuíferos (PMAA) en ejecución</t>
  </si>
  <si>
    <t>1.1.1.6. Realizar acciones dirigidas a la adopción y ejecución del Plan de Ordenación y manejo integrado de la Unidad Ambiental Costera Río Magdalena (POMIUAC)</t>
  </si>
  <si>
    <t>Número de acciones dirigidas a la adopción y ejecución del Plan de Ordenación y Manejo Integrado de la Unidad Ambiental Costera Río Magdalena (POMIUAC)</t>
  </si>
  <si>
    <t>A corte 31 de diciembre de 2025, la meta programada se encuentra cumplida en un cien (100%), con la ejecución del Convenio No.002 del 2025, suscrito entre la Corporación Autónoma Regional del Atlántico y la Corporación Universitaria Americana, cuyo objeto es: “AUNAR ESFUERZOS PARA IMPLEMENTAR ACCIONES DIRIGIDAS A LA CONSERVACIÓN DE LA BIODIVERSIDAD MARINO-COSTERA EN EL DEPARTAMENTO DEL ATLÁNTICO”, se presenta el siguiente informe de avance para la adopción del Plan de Ordenación y Manejo Integral de la Unidad Ambiental Costera (POMIUAC) RIO MAGDALENA, COMPLEJO CANAL DEL DIQUE - SISTEMA LAGUNAR DE LA CIENAGA GRANDE DE SANTA MARTA (UAC RIO MAGDALENA.</t>
  </si>
  <si>
    <t xml:space="preserve">Avance en la formulación y/o ajuste de los Planes de Ordenación y Manejo Integrado de la Unidad Ambiental Costera – POMIUAC </t>
  </si>
  <si>
    <t xml:space="preserve">1.1.1.7. Adoptar los Planes de ordenamiento del recurso hídrico en las ciénagas priorizadas del departamento del Atlántico (PORH) </t>
  </si>
  <si>
    <t>Número de Planes de ordenamiento del recurso hídrico en las ciénagas priorizadas del departamento del Atlántico (PORH) adoptados</t>
  </si>
  <si>
    <t>Para el cumplimiento de esta meta, la C.R.A. suscribió el contrato No. 00277 del 30 de mayo de 2.025, con una duración de 6 meses y con el siguiente objeto contractual: FORMULAR EL PLAN DE ORDENAMIENTO DEL RECURSO HÍDRICO Y EL
ACOTAMIENTO DE LA RONDA HÍDRICA PARA LA CIÉNAGA DE CONVENTO EN EL DEPARTAMENTO DEL ATLÁNTICO.
A la fecha del presente informe se dio cumplimiento a la meta representada en la adopción del Plan de Ordenamiento del Recurso Hídrico en la Ciénaga de Convento en el municipio de Sabanagrande.</t>
  </si>
  <si>
    <t>1.1.1.8. Hacer seguimiento a los Planes de Ordenamiento del Recurso Hidrico (PORH) que se encuentren adoptados en el departamento del Atlántico</t>
  </si>
  <si>
    <t>Porcentaje de Planes de Ordenamiento del Recurso Hídrico con seguimiento</t>
  </si>
  <si>
    <t>Esta meta cuenta con el cien por ciento (100%) de su cumplimiento, logrado a través de la ejecución del contrato No. 483 del 2024, iniciado el 14 de noviembre de 2024, el cual contó con un periodo de 10 meses para su ejecución. A corte 31 de diciembre de 2025, se desarrollaron las siguientes actividades:
· Se realizó el monitoreo de las Ciénagas de Mallorquín, Balboa, Malambo y Convento, con la finalidad de correlacionar los resultados de laboratorio con las imágenes captadas, se obtendrán mapas georreferenciados de los parámetros: Sólidos Suspendidos Totales (fisicoquímico) y Cianobacterias (microbiológico).
• Entrega de Informe del Monitoreo de Calidad de aguas con técnicas de Teledetección multiespectral mediante drones (VANTs).</t>
  </si>
  <si>
    <t>Proyecto 1.1.2. Administración del Recurso Hídrico</t>
  </si>
  <si>
    <t>1.1.2.1. Reglamentar el uso del recurso hidrico de los cuerpos de agua en el Departamento del Atlántico</t>
  </si>
  <si>
    <t>Número de reglamentaciones del uso del recurso hidrico de los cuerpos de agua en el Departamento del Atlántico realizada</t>
  </si>
  <si>
    <t>A esta meta se le da cumplimiento con la ejecución del contrato No.0326 de 2025 cuyo objeto es: “REALIZAR UN ESTUDIO HIDROSEDIMENTOLÓGICO COMO INSUMO PARA DESARROLLAR LA REGLAMENTACIÓN POR VERTIMIENTOS DEL RECURSO HÍDRICO DEL ARROYO LEÓN Y LA IMPLEMENTACIÓN DEL DECRETO 1553 DE 2024 PARA LA LIQUIDACIÓN DE LA TASA RETRIBUTIVA EN EL DEPARTAMENTO DEL ATLÁNTICO.”, suscrito entre la C.R.A. y el Consorcio SICC del Caribe. Este contrato cuenta con un periodo de ejecución de diez (10) meses, y cuenta con acta de inicio de fecha 10 de octubre de 2025.
A corte 31 de diciembre de 2025, la meta cuenta con un porcentaje de ejecución del treinta por ciento (30%), representado en las actividades previas de preparación del cronograma de activades y plan de trabajo.</t>
  </si>
  <si>
    <t xml:space="preserve">Cuerpos de Agua con Reglamentación del Uso de las Aguas </t>
  </si>
  <si>
    <t>1.1.2.2. Realizar seguimiento al estado de las zonas priorizadas como abastecedoras del recurso hídrico</t>
  </si>
  <si>
    <t xml:space="preserve">Número de documentos de seguimiento al estado de las zonas priorizadas como abastecedoras del recurso hídrico realizados </t>
  </si>
  <si>
    <t>1.1.2.3. Realizar el acotamiento de las rondas hidricas de los cuerpos de agua priorizados en el Departamento del Atlántico (Convento y Totumo)</t>
  </si>
  <si>
    <t>Número de acotamientos de las rondas hidricas de los cuerpos de agua priorizados en el Departamento del Atlántico realizados</t>
  </si>
  <si>
    <t>Que la Corporación Autónoma Regional del Atlántico a través de la Resolución No.00145 del 2.021, priorizó unos cuerpos de agua en el departamento del Atlántico para el acotamiento de sus rondas hídricas. Que para la vigencia 2.025 de acuerdo al orden de prelación se estableció que realizará el acotamiento de la ronda hídrica del cuerpo de agua denominado Ciénaga Convento. Para el cumplimiento de esta meta, la C.R.A. suscribió el contrato No.00277 del 30 de mayo de 2025, con una duración de 6 meses y
con el siguiente objeto contractual: FORMULAR EL PLAN DE ORDENAMIENTO DEL RECURSO HÍDRICO Y EL ACOTAMIENTO DE LA RONDA HÍDRICA PARA LA CIÉNAGA DE CONVENTO EN EL DEPARTAMENTO DEL ATLÁNTICO.
A corte 31 de diciembre de 2025, la meta se encuentra cumplida con el documento técnico de acotamiento de la ronda hídrica de la ciénaga Convento, se expidió la Resolución que adopta el acotamiento de este cuerpo de agua.</t>
  </si>
  <si>
    <t>Avance en el acotamiento de Rondas Hídricas de Cuerpos de Agua priorizados.</t>
  </si>
  <si>
    <t>Proyecto 1.1.3. Recuperación y manejo de los humedales del departamento del Atlántico</t>
  </si>
  <si>
    <t xml:space="preserve">1.1.3.1. Realizar el mantenimiento de las estructuras de regulación hídrica de los cuerpos de agua del Departamento del Atlántico (Embalse El Guájaro, Ciénaga de Mallorquin, Ciénagas de Sabanagrande, Santo Tomas y Palmar de Varela) </t>
  </si>
  <si>
    <t xml:space="preserve">Número de mantenimientos realizados a las estructuras de regulación hídrica de los cuerpos de agua del Departamento del Atlántico </t>
  </si>
  <si>
    <t>Para el cumplimiento de esta meta en la vigencia 2.025, esta Corporación realizó el proceso de Licitación Pública No. LP-2025-002, donde se adelantó el proyecto: REALIZAR LAS OBRAS DE MANTENIMIENTO Y LIMPIEZA EN LAS ESTRUCTURAS DE REGULACIÓN HÍDRICA DE EL PORVENIR Y VILLA ROSA EN EL EMBALSE EL GUÁJARO Y EN LAS ESTRUCTURAS DE PROTECCIÓN DE LOS MUROS DE CONTENCIÓN DE LOS CORREGIMIENTOS DE AGUADA DE PABLO Y LA PEÑA, DEPARTAMENTO DEL ATLÁNTICO, adjudicado el día 6 de junio de 2.025.</t>
  </si>
  <si>
    <t>Se realiza la armonización con la LÍNEA ESTRATÉGICA No. 1. SOSTENIBILIDAD DEL RECURSO HÍDRICO, del Plan de Acción 2020-2023</t>
  </si>
  <si>
    <t>1.1.3.2. Realizar acciones para la recuperacion ambiental de los cuerpos de agua asociados a la cuenca del Canal del Dique</t>
  </si>
  <si>
    <t>Número de acciones realizadas para la Recuperación ambiental de los cuerpos de agua asociados a la Cuenca del Canal del Dique</t>
  </si>
  <si>
    <t>Para la vigencia del periodo 2025 el cumplimiento de esta meta se alcanza mediante el Contrato de Obra No. 492 de 2024, cuyo objeto es. “REALIZAR LA LIMPIEZA Y RECUPERACIÒN AMBIENTAL DE LOS CAÑOS Y/O ARROYOS AFLUENTES A LA LAGUNA DE LURUACO Y AL EMBALSE EL GUÀJARO EN EL DEPARTAMENTO DEL ATLANTICO”.
Para el periodo comprendido entre los meses de junio a diciembre de 2025, el contratista de obra realizó las actividades de:
· Frente Arroyo Negro – Municipio de Luruaco
· Frente de obra Caño de Villa Rosa – Corregimiento de Villa Rosa Atlántico
· Frente de obra Caño El Porvenir – Corregimiento El Porvenir.
•Frente de obra Arroyo de Piedras – Corregimiento de Arroyo de Piedras, Luruaco
•Frente de obra Arroyo Limón – Luruaco
Frente de obra Arroyo Bartolo – Repelón.</t>
  </si>
  <si>
    <t>1.1.3.3. Realizar acciones para la recuperacion ambiental de los cuerpos de agua asociados a la vertiente occidental del Río Magdalena (incluyendo el cumplimiento de la acción popular sobre las ciénagas de Sabanagrande, Santo Tomas y Palmar de Varela y cumplimiento de la consulta previa sobre ciénaga de Sábalo, Malambo y Bahía)</t>
  </si>
  <si>
    <t>Número de acciones realizadas para la recuperación ambiental de los cuerpos de agua asociados a la vertiente occidental del Rio Magdalena</t>
  </si>
  <si>
    <t>A corte 31 de diciembre de 2025, la meta se encuentra cumplida con la ejecución del Contrato de Obra No. 493 de 2024, cuyo objeto es. “REALIZAR LA LIMPIEZA Y RECUPERACIÓN AMBIENTAL DE LOS CAÑOS Y LAS ESTRUCTURAS HIDRÁULICAS DEL PROYECTO DE REGULACIÓN Y MANEJO INTEGRAL DEL SISTEMA DE CIÉNAGAS DE LOS MUNICIPIOS DE SABANAGRANDE, SANTO TOMAS Y PALMAR DE VARELA EN CUMPLIMIENTO DE LA LICENCIA AMBIENTAL OTORGADA MEDIANTE RESOLUCIÓN No. 293 DEL 2017”. 
Durante la vigencia 2025, el contratista de obra realizó las actividades de:
Frente Caño Tigre – Municipio de Palmar de Varela
Frente de obra Caño Luisa – Municipio de Santo Tomas
Frente de obra Caño Convento – Municipio de Sabanagrande
Frente de obra Caño Grande
Frente de obra Caño del Puerto de Sabanagrande</t>
  </si>
  <si>
    <t>1.1.3.4. Realizar acciones para la recuperacion ambiental de los cuerpos de agua asociados a la cuenca de la ciénaga de Mallorquín</t>
  </si>
  <si>
    <t>Número de acciones realizadas para la Recuperación ambiental de la cuenca de Mallorquín</t>
  </si>
  <si>
    <t>A través del contrato No. 237 de 2025 cuyo objeto es OPERACIÓN Y MANTENIMIENTO DEL SISTEMA INTEGRAL DE TRATAMIENTO CON BIOTECNOLOGÍA PARA GARANTIZAR LA SOSTENIBILIDAD HÍDRICA Y AMBIENTAL DE LA CIÉNAGA DEL RINCÓN "LAGO DEL CISNE" DURANTE LA VIGENCIA 2025 EN EL DEPARTAMENTO DEL ATLÁNTICO, se garantizó la sostenibilidad hídrica y ambiental de la ciénaga del Rincón “Lago del Cisne”, el cual cumple una función ambiental e hidráulica vital para el funcionamiento completo de este ecosistema hidrográfico, caracterizado por la capacidad de amortiguación hidráulica que le brinda a la ciénaga de mallorquín ante los caudales aportados por los arroyos Grande y León en su cuenca baja dando cumplimiento a la meta programada para la vigencia 2025.
Actividades desarrolladas:
	Operación sistema electromecánico
	Suministros de biotecnología para la operación
	Pruebas de calidad de agua
	Mantenimiento sistema electromecánico.	
	Mantenimiento canal de biorremediación, captación, aducción e impulsión.
Valor del contrato: $2.595.580.103.
Porcentaje de avance: 100%</t>
  </si>
  <si>
    <t>1.1.3.5. Realizar acciones para la recuperacion ambiental de los cuerpos de agua asociados a la cuenca de los arroyos directos al Mar Caribe (Balboa y Totumo)</t>
  </si>
  <si>
    <t xml:space="preserve">Número de acciones realizadas para la recuperación ambiental de los cuerpos de agua asociados a la cuenca de los arroyos directos al Mar Caribe </t>
  </si>
  <si>
    <t>En la vigencia 2.025, para el cumplimiento de la meta se suscribió el Contrato No. 0281 del 2025 con el Consorcio Ambiental del Atlántico, cuyo objeto es: “REALIZAR LAS ACCIONES PARA GARANTIZAR LA HIDRODINÁMICA EN LA CIÉNAGA DEL TOTUMO Y LA LIMPIEZA Y RECUPERACIÓN AMBIENTAL DEL ARROYO LEÓN EN EL DEPARTAMENTO DEL ATLÁNTICO”.
Las actividades que se ejecutaron fueron la limpieza y recuperación ambiental del cauce del arroyo León, incluyendo el retiro mecánico de sedimentos, residuos sólidos y material acumulado, así como la conformación de la sección transversal del cauce conforme a las geometrías establecidas en los diseños aprobados. Estas labores se desarrollaron tanto en el tramo principal como en el tramo auxiliar o brazo del arroyo, priorizando sectores con mayor nivel de afectación.</t>
  </si>
  <si>
    <t xml:space="preserve">1.1.3.6. Realizar acciones de repoblamiento de especies nativas asociadas al recurso hidrobiológico del departamento como estrategia de recuperación de los cuerpos de agua a través de un programa participativo con las comunidades locales </t>
  </si>
  <si>
    <t xml:space="preserve">Número de acciones de repoblamiento de especies nativas asociadas al recurso hidrobiológico del departamento como estrategia de recuperación de los cuerpos de agua realizadas a través de un programa participativo con las comunidades locales </t>
  </si>
  <si>
    <t>El Plan Pescao desde el año 2020 genera alianzas entre entidades públicas y la comunidad de pescadores que garantizan objetivos comunes. Se ha logrado el trabajo articulado entre la Corporación Regional Autónoma del Atlántico (C.R.A.), la Gobernación del Atlántico, la Autoridad Nacional de Acuicultura y Pesca (AUNAP), el Ejército Nacional, la Federación de pescadores del Canal del Dique y agremiaciones de pescadores de los municipios.
Mas de 3.000 Pescadores y sus familias residentes en los municipios de Manatí, Repelón, Sabanalarga, Luruaco, Ponedera, Malambo, Piojó y Puerto Colombia, han sido beneficiados con el Plan.
El desarrollo de este plan ha contribuido a mantener el ciclo biológico de especies nativas, importantes para el sostenimiento de los ecosistemas de humedales del Departamento del Atlántico.
Para la vigencia 2025, se continua con esta estrategia bajo el nombre PLAN + PESCAO, con capacidad instalada de la entidad, se realizó la siembra de aproximadamente 1.500.000 de alevinos de bocachico (Prochilodus magdalenae), por parte de la GOBERNACIÓN, AUNAP y C.R.A.
Por otra parte, en el marco del convenio No. 005 del 2025, cuyo objeto es: DESARROLLO CONJUNTO DE UN PROGRAMA DE CAPACITACIÓN DIRIGIDO A ORGANIZACIONES COMUNITARIAS PARA APOYAR LA GESTIÓN AMBIENTAL EN LA CONSERVACIÓN DE ECOSISTEMAS, GESTIÓN DEL RIESGO, ECOCIRCULARIDAD, COMUNIDADES ENERGÉTICAS Y SEGURIDAD ALIMENTARIA EN LOS MUNICIPIOS DE JUAN DE ACOSTA, PALMAR DE VARELA, PUERTO COLOMBIA Y OTRAS LOCALIDADES DEL DEPARTAMENTO DEL ATLÁNTICO, se desarrolló un proceso de formación teórico práctico para beneficiar de manera directa a veinte (20) familias de pescadores del municipio de Palmar de Varela, representadas por un integrante de cada una de las familias, quienes asistieron a las capacitaciones programadas en el tema de Repoblamiento Local.</t>
  </si>
  <si>
    <t>PROGRAMA 1.2. HIDROVALOR: AGUA DE CALIDAD PARA LA VIDA</t>
  </si>
  <si>
    <t>Proyecto 1.2.1. Uso eficiente y sostenible del agua</t>
  </si>
  <si>
    <t>1.2.1.1. Realizar seguimiento a la implementación de los Programas de Ahorro y Uso Eficiente del Agua (PUEAA) de los usuarios del Recurso Hídrico.</t>
  </si>
  <si>
    <t>Porcentaje de seguimiento de los Programas de Ahorro y Uso Eficiente del Agua (PUEAA) de los usuarios del Recurso Hídrico implementados.</t>
  </si>
  <si>
    <t>En ejercicio de las labores de seguimiento y control ambiental y en cumplimiento del Decreto 1076 del 2025 “El presente decreto tiene por objeto reglamentar la Ley 373 de 1997 en lo relacionado con el Programa para el Uso Eficiente y Ahorro de Agua y aplica a las Autoridades Ambientales”, se detalla en tabla anexa la programación realizada en la vigencia 2025: se programaron y visitaron 186
En el primer semestre se reportaron ciento ochenta y ocho concesiones (188) que cuentan con PUEAA requerido, aprobado y/o en evaluación, este número al finalizar la vigencia 2025 disminuye a ciento ochenta y seis (186) por el archivo y/o perdida de la vigencia de los permisos para los usuarios: ASOCIACION ACUAPONICA DE SUAN y COMPAÑIA DE ALIMENTOS DEL CARIBE S.A.S.- COALCAR S.A.S.</t>
  </si>
  <si>
    <t>Proyecto 1.2.2. Control y prevención de la contaminación del Recurso Hídrico</t>
  </si>
  <si>
    <t>1.2.2.1. Realizar inventario y registro al SIRH de usuarios del Recurso Hídrico, en relación con las aguas superficiales y subterráneas.</t>
  </si>
  <si>
    <t>Porcentaje de inventario y registro al SIRH del 100% de usuarios del Recurso Hídrico, en relación con las aguas superficiales y subterráneas.</t>
  </si>
  <si>
    <t>La Corporación Autónoma Regional del Atlántico (C.R.A.) registró, en los formatos establecidos por el Sistema de Información del Recurso Hídrico (SIRH), la información correspondiente a los permisos de vertimientos otorgados, así como a los permisos de captación subterráneas y superficiales. Dicha información fue cargada en la plataforma del SIRH, previa recopilación y verificación de los datos obtenidos de los registros de la intranet institucional a fecha 15 de diciembre de 2025.
En total, se registraron 11 permisos de vertimientos, 13 permisos de captación de aguas subterráneas y 3 permisos de captación de aguas superficiales, alcanzando un cumplimiento del 100% en el registro de la información disponible a la fecha indicada.</t>
  </si>
  <si>
    <t>Redes y estaciones de Monitoreo del Recurso Hídrico en operación</t>
  </si>
  <si>
    <t>Porcentaje de puntos de monitoreo con categoría buena o aceptable del Índice de Calidad de Agua (ICA)</t>
  </si>
  <si>
    <t>1.2.2.2. Monitorear la calidad del Recurso Hídrico de las Aguas Continentales.</t>
  </si>
  <si>
    <t>Número de monitoreos a la Calidad del Recurso Hídrico de las Aguas Continentales</t>
  </si>
  <si>
    <t>A corte 31 de diciembre de 2025, la meta cuenta con el cien (100%) de su cumplimiento, logrado a través de la ejecución del contrato No. 483 del 2024, iniciado el 14 de noviembre de 2024, el cual contó con un periodo de 10 meses para su ejecución. A corte 31 de diciembre de 2025, se desarrollaron las siguientes actividades:
Se realizó el monitoreo de las Ciénagas de Mallorquín, Balboa, Malambo y Convento, con la finalidad de correlacionar los resultados de laboratorio con las imágenes captadas, se obtendrán mapas georreferenciados de los parámetros: Sólidos Suspendidos Totales (fisicoquímico) y Cianobacterias (microbiológico).</t>
  </si>
  <si>
    <t>1.2.2.3. Monitorear la Calidad del Recurso Hídrico de las aguas Marinas (18 puntos establecidos en la REDCAM)</t>
  </si>
  <si>
    <t>Número de monitoreos a la calidad del Recurso Hídrico de las aguas Marinas (18 puntos establecidos en la REDCAM)</t>
  </si>
  <si>
    <t>A corte 31 de diciembre de 2025, la meta se encuentra cumplida con la ejecución del CONVENIO 0011 INVEMAR – CRA “GENERACIÓN DE INFORMACIÓN TÉCNICO-CIENTÍFICA COMO SOPORTE A LA GESTIÓN AMBIENTAL DE LA CORPORACIÓNAUTÓNOMA REGIONAL DEL ATLÁNTICO– C.R.A. EN LA ZONA COSTERA DEL DEPARTAMENTO DEL ATLÁNTICO. En el marco de este se desarrollaron acciones clave orientadas a mejorar la comprensión y gestión de los ecosistemas marino-costeros del Atlántico. Entre las actividades desarrolladas se incluyen, el monitoreo de la calidad de las aguas y sedimentos, manteniendo la operatividad del nodo Atlántico, correspondiente a la Red de Vigilancia para la Conservación y Protección de las Aguas Marinas y Costeras de Colombia (REDCAM), dando continuidad al monitoreo anual o semestral que se viene realizando desde el año 2001, incluyendo además las variables del sistema de carbonatos en Puerto Velero y la evaluación de basura marina y microplásticos en playas priorizadas. Por otra parte, se realizó el análisis detallado del estado del ecosistema de arrecifes coralinos, acompañado de un inventario de especies asociadas. 
Se realizó la identificación de cinco principales factores de degradación ambiental y la evaluación de 102 impactos en las playas de Puerto Velero y Caño Dulce. Este análisis permitió formular medidas preventivas orientadas a la mitigación de presiones antrópicas y definir estrategias de protección de los ecosistemas. Complementariamente, se desarrollaron actividades de alfabetización oceánica dirigidas a comunidades locales y establecimientos educativos, con el propósito de fortalecer la conciencia ambiental y la corresponsabilidad en la gestión ambiental desde edades tempranas.</t>
  </si>
  <si>
    <t>1.2.2.4. Elaborar documento técnico con la actualización de los objetivos de calidad hídrica para los cuerpos de agua del Departamento del Atlántico.</t>
  </si>
  <si>
    <t>Número de documentos técnicos con los objetivos de calidad hídrica para los cuerpos de agua del Atlántico actualizados</t>
  </si>
  <si>
    <t>1.2.2.5. Realizar seguimiento a las metas de Carga Contaminantes</t>
  </si>
  <si>
    <t>Número de seguimientos  a las metas de Carga Contaminantes</t>
  </si>
  <si>
    <t>Por parte de la Oficina de Negocios Verdes del Ministerio de Ambiente y Desarrollo Sostenible, se recibió invitación a participar en jornada de capacitación Decreto 1553 del 2024 “Tasa Retributiva por Vertimientos puntuales al agua” en el cual se establece una nueva metodología para la liquidación de la tasa retributiva dirigido a los funcionarios y colaboradores que apoyan el proceso de liquidación de las tasas retributivas, tasa por uso, PSA, tasa por compensación forestal, entre otras. Desarrollado en la ciudad de Barranquilla los días 23 y 24 de mayo, y en los que participaron otras entidades como CORPAMAG, CORALINA, CARDIQUE Y CORPOGUAJIRA, entre otras.
A corte 31 de diciembre 2025 se contó con el apoyo de la Subdirección de Cambio Climático y Gestión del Riesgo para el cálculo de la VARIABLE AMBIENTAL (una de las tres variables del factor regional.), documento CÁLCULO VARIABLE AMBIENTAL TASA RETRIBUTIVA 2024.</t>
  </si>
  <si>
    <t xml:space="preserve">Proyecto1.2.3. Reducción de la contaminación del Recurso Hídrico </t>
  </si>
  <si>
    <t>1.2.3.1. Realizar seguimiento a los Planes de Saneamiento y Manejo de Vertimientos - PSMV</t>
  </si>
  <si>
    <t>Planes de Saneamiento y Manejo de Vertimientos (PSMV) con seguimiento y control - IMG</t>
  </si>
  <si>
    <t>En ejercicio de las labores de seguimiento ambiental en la vigencia 2025 se realizó el seguimiento a los 23 Municipios y un (1) corregimiento de sus Planes de Saneamiento y Manejo de Vertimientos (PSMV).
Se resolvieron los siguientes procesos sancionatorios en el marco del seguimiento a los Planes de saneamiento y manejo de vertimientos PSMV municipales.</t>
  </si>
  <si>
    <t>1.2.3.2. Apoyar a los municipios de la jurisdicción de la C.R.A. en la gestión ambiental de sus aguas residuales</t>
  </si>
  <si>
    <t>Número de proyectos apoyados a los municipios de la jurisdicción de la C.R.A. en la gestión ambiental de sus aguas residuales</t>
  </si>
  <si>
    <t>Esta meta se cumplió con la ejecución de los siguientes contratos:
Contrato 237 de 2021
Objeto: CONSTRUCCIÓN DE ESTACIÓN DE BOMBEO Y PLANTA DE TRATAMIENTO DE AGUAS RESIDUALES PARA EL MUNICIPIO DE JUAN DE ACOSTA Y EL SECTOR DE EL VAIVEN EN EL DEPARTAMENTO DEL ATLÁNTICO
Valor Total Inversión: $ 20.251.088.087,00
Recursos Vigencia 2025: $ 416.860.000,00
Estado: En ejecución.
Población beneficiada: La población beneficiada corresponde al casco urbano del municipio de Juan de Acosta y el corregimiento El Vaivén.
El proyecto presenta un avance físico del 96% de acuerdo con reportes presentados por la interventoría, dentro del cual se han desarrollado actividades como:
	Construcción de reactores.
	Construcción de cuarto eléctrico y laboratorio en la PTAR.
	Construcción de pozos de inspección.
	Construcción de cajas repartidoras.
	Instalación de tuberías
	Construcción de humedales
	Construcción canal concreto para manejo de aguas lluvias 
	Construcción de pozo húmedo EBAR
	Construcción de gaviones para protección de EBAR
	Construcción de cerramiento EBAR y PTAR
	Construcción de cuarto eléctrico en la EBAR.
El avance financiero del contrato corresponde al 88,54%.</t>
  </si>
  <si>
    <t>LINEA ESTRATEGICA 2. GESTIÓN PARA LA CONSERVACIÓN SOSTENIBLE DE LOS RECURSOS NATURALES</t>
  </si>
  <si>
    <t>PROGRAMA 2.1. BIODIVERSIDAD Y RIQUEZA DE LOS ECOSISTEMAS TERRESTRES Y MARINO COSTEROS</t>
  </si>
  <si>
    <t>Proyecto 2.1.1. Conservación de Ecosistemas Terrestres</t>
  </si>
  <si>
    <t>2.1.1.1.(a) Restaurar, conservar, recuperar o rehabilitar ecosistemas terrestres en el Departamento del Atlántico de acuerdo al estado de conservación del Ecosistema</t>
  </si>
  <si>
    <t>Numero de ha de ecosistemas restaurados, recuperados o rehabilitados en el Departamento del Atlántico</t>
  </si>
  <si>
    <t>hectáreas</t>
  </si>
  <si>
    <t xml:space="preserve">En la vigencia 2.025, se suscribió el Convenio 009 del 2.025 “AUNAR ESFUERZOS PARA PROMOVER ACCIONES DE INTERVENCIÓN ENCAMINADAS A FOMENTAR LA CONSERVACIÓN DE ECOSISTEMAS, LA ADAPTACIÓN DE CAMBIO CLIMÁTICO Y LA RECONVENCIÓN TECNOLÓGICA GENERANDO IMPACTOS POSITIVOS AL MEDIO AMBIENTE EN EL DEPARTAMENTO DEL ATLÁNTICO”, para la Restauración, Conservación, Recuperación o Rehabilitación de Ecosistemas Terrestres en los municipios de Sabanagrande, Santo Tomás y Palmar de Varela en el departamento del Atlántico. El citado convenio cumplió el 100% de las fases de planificación, preparación y promoción.
De esta manera se realizó la restauración de 40 ha de ecosistemas degradados con la siembra y mantenimiento de dieciocho mil (18.000) árboles sembrados en los municipios de Sabanagrande, Santo Tomás y Palmar de Varela. La información completa se encuentra registrada en el informe de gestión en la respectiva acción estrategica </t>
  </si>
  <si>
    <t>3202 Conservación de la biodiversidad y sus servicios ecosistémicos</t>
  </si>
  <si>
    <t>Ecosistemas en restauración, rehabilitación y reforestación.</t>
  </si>
  <si>
    <t>Pérdida anualizada de bosque natural</t>
  </si>
  <si>
    <t>2.1.1.1.(b) Restaurar, conservar, recuperar o rehabilitar ecosistemas terrestres en el Departamento del Atlántico de acuerdo al estado de conservación del Ecosistema</t>
  </si>
  <si>
    <t>Número de proyectos de restauración y conservación de  áreas ambientales estratégicas para aumentar la capacidad de adaptación al cambio climático y la resiliencia ecosistémica del departamento estructurados bajo esquemas de restauración de mil (1.000) hectáreas en el cuatrienio</t>
  </si>
  <si>
    <t xml:space="preserve">Se suscribió el Convenio 009 del 2025 “AUNAR ESFUERZOS PARA PROMOVER ACCIONES DE INTERVENCIÓN ENCAMINADAS A FOMENTAR LA CONSERVACIÓN DE ECOSISTEMAS, LA ADAPTACIÓN DE CAMBIO CLIMÁTICO Y LA RECONVENCIÓN TECNOLÓGICA GENERANDO IMPACTOS POSITIVOS AL MEDIO AMBIENTE EN EL DEPARTAMENTO DEL ATLÁNTICO”, para la Restauración, Conservación, Recuperación o Rehabilitación de Ecosistemas Terrestres en los municipios de Sabanagrande, Santo Tomás y Palmar de Varela en el departamento del Atlántico: Intervención en suelos degradados en los municipios de Sabanagrande, Santo Tomás y Palmar de Varela en el Departamento del Atlántico para Veinte (20) hectáreas de suelos degradados por erosión en los municipios de Sabanagrande, Santo Tomás y Palmar de Varela en el Departamento del Atlántico.
La información completa se encuentra registrada en el informe de gestión en la respectiva acción estrategica </t>
  </si>
  <si>
    <t>Se realiza la armonización con la LÍNEA ESTRATÉGICA No. 2. SOSTENIBILIDAD DEL RECURSO NATURAL, del Plan de Acción 2020-2023</t>
  </si>
  <si>
    <t>2.1.1.2. Realizar intervención en suelos degradados del Departamento del Atlántico</t>
  </si>
  <si>
    <t>Número de hectáreas de suelos degradados por erosión intervenidos en el departamento del Atlántico</t>
  </si>
  <si>
    <t>Se suscribió el Convenio 009 del 2025 “AUNAR ESFUERZOS PARA PROMOVER ACCIONES DE INTERVENCIÓN ENCAMINADAS A FOMENTAR LA CONSERVACIÓN DE ECOSISTEMAS, LA ADAPTACIÓN DE CAMBIO CLIMÁTICO Y LA RECONVENCIÓN TECNOLÓGICA GENERANDO IMPACTOS POSITIVOS AL MEDIO AMBIENTE EN EL DEPARTAMENTO DEL ATLÁNTICO,” para la Restauración, Conservación, Recuperación o Rehabilitación de Ecosistemas Terrestres en los municipios de Sabanagrande, Santo Tomás y Palmar de Varela en el departamento del Atlántico:
Se realizó intervención en suelos degradados en los municipios de Sabanagrande, Santo Tomás y Palmar de Varela en el Departamento del Atlántico para Veinte (20) hectáreas de suelos degradados por erosión en estos municipios, teniendo en cuenta las condiciones del suelo y la presencia de especies propias de estos municipios, lo cual permitió seleccionar material vegetal adaptado a las características locales y a los ecosistemas de protección hídrica presentes en la zona. La información completa se encuentra registrada en el informe de gestión en la respectiva acción estrategica.</t>
  </si>
  <si>
    <t>Avance en la intervención en suelos degradados</t>
  </si>
  <si>
    <t>Número de especies exóticas invasoras identificadas y monitoreadas en el departamento del Atlántico</t>
  </si>
  <si>
    <t>Especies invasoras con medidas de prevención, control y manejo en ejecución</t>
  </si>
  <si>
    <t>2.1.1.4. Implementar medidas de prevención, control y manejo de las principales especies exóticas invasoras del departamento</t>
  </si>
  <si>
    <t>Número de especies exóticas invasoras con medidas de prevención, control y manejo en ejecución</t>
  </si>
  <si>
    <t>Se suscribió el Convenio 0007 del 2025 “AUNAR ESFUERZO ADMINISTRATIVOS, TÉCNICOS Y FINANCIEROS PARA DESARROLLAR ACCIONES ENCAMINADAS A LA PROMOCIÓN, PROTECCIÓN Y CONSERVACIÓN DE LOS RECURSOS NATURALES Y LA BIODIVERSIDAD, A TRAVÉS DE LA IMPLEMENTACIÓN DE ESTRATEGIAS DE FORMACIÓN Y FORTALECIMIENTO EN LAS COMUNIDADES Y TERRITORIOS EN EL DEPARTAMENTO DEL ATLÁNTICO”.
Como cumplimiento al indicador asociado al número de especies exóticas invasoras identificadas y monitoreadas en el departamento del Atlántico se determinó y trabajó con la especie Pez León (Pterois volitans), por ser una especie invasora altamente reproductiva y voraz en el Caribe, que devora peces nativos y destruye arrecifes de coral al no tener depredadores naturales, desequilibrando ecosistemas y afectando la pesca comercial.</t>
  </si>
  <si>
    <t>2.1.1.5.(a) Implementar medidas de manejo y conservación de especies amenazadas en el departamento del Atlántico</t>
  </si>
  <si>
    <t>Número de documentos técnicos de medidas de manejo y conservación de especies amenazadas identificadas en el departamento del Atlántico formulados</t>
  </si>
  <si>
    <t xml:space="preserve">En la vigencia 2025, se suscribió el convenio 0007 del 2025 “AUNAR ESFUERZO ADMINISTRATIVOS, TÉCNICOS Y FINANCIEROS PARA DESARROLLAR ACCIONES ENCAMINADAS A LA PROMOCIÓN, PROTECCIÓN Y CONSERVACIÓN DE LOS RECURSOS NATURALES Y LA BIODIVERSIDAD, A TRAVÉS DE LA IMPLEMENTACIÓN DE ESTRATEGIAS DE FORMACIÓN Y FORTALECIMIENTO EN LAS COMUNIDADES Y TERRITORIOS EN EL DEPARTAMENTO DEL ATLÁNTICO”, en el marco de este convenio se realizó una selección de especie de fauna silvestre en estado de amenaza, la cual fue Trachemys Callirostris comúnmente conocida como Hicotea, esta especie se distribuye en la mayoría de los departamentos de la costa caribe Colombiana y actualmente  sufre una explotación de manera  ilegal en su hábitat generando incautaciones especialmente en la época de semana santa ya que es capturada de manera ilegal para la venta y consumo. </t>
  </si>
  <si>
    <t>Especies amenazadas con medidas de conservación y manejo en ejecución</t>
  </si>
  <si>
    <t>2.1.1.5.(b) Implementar medidas de manejo y conservación de especies amenazadas en el departamento del Atlántico</t>
  </si>
  <si>
    <t xml:space="preserve">Porcentaje de avance en la implementación del documento técnico de medidas de manejo y conservación de especies amenazadas identificadas en el departamento </t>
  </si>
  <si>
    <t>Porcentaje de especies amenazadas con medidas de conservación y manejo en ejecución.</t>
  </si>
  <si>
    <t>Proyecto 2.1.2. Fortalecimiento de herramientas para la Gobernanza Forestal</t>
  </si>
  <si>
    <t>2.1.2.1. Ajustar el Plan de Ordenamiento Forestal</t>
  </si>
  <si>
    <t>Número de documentos de ajuste del Plan de Ordenamiento Forestal</t>
  </si>
  <si>
    <t>En la vigencia 2.025 se suscribió el Convenio 014 del 2025 “AUNAR ESFUERZOS ADMINISTRATIVOS, TÉCNICOS Y FINANCIEROS PARA EL AJUSTE AL PLAN DE ORDENAMIENTO FORESTAL DE LA CORPORACIÓN AUTÓNOMA REGIONAL DEL ATLÁNTICO - CRA, A TRAVÉS DE LA CARACTERIZACIÓN, DIAGNÓSTICO Y ACTUALIZACIÓN DE LOS INSTRUMENTOS DE ORDENACIÓN FORESTAL DEL ÁREA DE SU JURISDICCIÓN, ORIENTADO AL FORTALECIMIENTO DE LA GESTIÓN Y LA GOBERNANZA”, en el marco del citado convenio se ejecutaron las siguientes actividades:
1.	Actualización de la información de proyectos sectoriales presentes y futuros: infraestructura, hidrocarburos, eléctricos y minería. 
2.	Actualización de la información de los proyectos de conservación presentes en el departamento del Atlántico.
3.	Actualización de las áreas en suelo de expansión urbana de los municipios de la jurisdicción. 
4.	Base de datos geográfica de los aprovechamientos forestales otorgados. 
5.	Base de datos geográfica de las compensaciones en jurisdicción de la Corporación. 
6.	Actualización de los factores de compensación. 
7.	Actualización de las áreas importantes de conservación del Departamento del Atlántico. 
8.	Actualización de las áreas de conservación inscritas en el RUNAP.
9.	Actualización del mapa de las unidades hidrológicas a escala 1:25.000. 
10.	Actualización del mapa de ecosistemas regionales a escala 1:25.000. 
11.	Actualización de los escenarios de conservación. 
12.	Actualización de las acciones de compensación. 
13.	Actualizar el portafolio de áreas prioritarias para conservación y compensación por pérdida de biodiversidad.
El documento general de la Ordenación Forestal que contiene el proceso de ordenación forestal con todos sus soportes y anexos deberá ser presentado ante el Consejo Directivo de la C.R.A. para su adopción por medio de Acuerdo Administrativo.
Es importante aclarar que a la fecha nos encontramos a la espera de un pronunciamiento de fondo del Ministerio de Interior sobre la necesidad de llevar a cabo la respectiva consulta previa y sobre que comunidades.</t>
  </si>
  <si>
    <t xml:space="preserve">Avance en la formulación, aprobación y/o actualización del Plan de Ordenación Forestal </t>
  </si>
  <si>
    <t>Participación de la economía forestal en el PIB</t>
  </si>
  <si>
    <t>Proyecto 2.1.3. Conservación de Ecosistemas Marinos y Costeros</t>
  </si>
  <si>
    <t>2.1.3.1. Implementar acciones que promuevan la conservación de la biodiversidad Marino-costera en el departamento del Atlántico</t>
  </si>
  <si>
    <t>Número de acciones que promuevan la conservación de la biodiversidad Marino-costera en el departamento del Atlántico implementadas</t>
  </si>
  <si>
    <t>Para la vigencia 2.025, se suscribió el Convenio 0002 del 2.025 “AUNAR ESFUERZOS PARA IMPLEMENTAR ACCIONES DIRIGIDAS A LA CONSERVACIÓN DE LA BIODIVERSIDAD MARINO-COSTERA EN EL DEPARTAMENTO DEL ATLÁNTICO”, en el marco de este convenio, como cumplimiento al indicador de acciones que promuevan la conservación del ecosistema de manglar se desarrolló  un proceso de formación que permitió fortalecer el conocimiento de la conservación del ecosistema del manglar en el departamento del Atlántico, desarrollándose  seis (06) Talleres con cuatro (4) horas de formación por cada taller, dirigidos a treinta (30) personas de las inmediaciones de zonas de manglar en el Departamento del Atlántico. La información completa se encuentra registrada en el informe de gestión en la respectiva acción estrategica.</t>
  </si>
  <si>
    <t>3207 Gestión integral de mares, costas y recursos acuáticos</t>
  </si>
  <si>
    <t>Miles de hectáreas de áreas marinas protegidas</t>
  </si>
  <si>
    <t>2.1.3.2. Restaurar o rehabilitar ecosistemas marino costeros en el Departamento del Atlántico</t>
  </si>
  <si>
    <t>Número de hectáreas de ecosistemas degradados bajo procesos de restauración, recuperación, rehabilitación - IMG</t>
  </si>
  <si>
    <t>En la vigencia 2.025, por medio del Convenio No. 0002 del 2025 “AUNAR ESFUERZOS PARA IMPLEMENTAR ACCIONES DIRIGIDAS A LA CONSERVACIÓN DE LA BIODIVERSIDAD MARINO-COSTERA EN EL DEPARTAMENTO DEL ATLÁNTICO”, se estableció un proceso de identificación del estado del ecosistema de manglar en el departamento del Atlántico para doce (12) hectáreas de mangle ubicadas en la zona costera dónde se desarrolló el programa de Rehabilitación de Manglar. Es importante señalar que estas zonas se tomaron como base para las capacitaciones realizas en la acción 2.1.3.1. del Plan de Acción. La información completa se encuentra registrada en el informe de gestión en la respectiva acción estrategica.</t>
  </si>
  <si>
    <t>2.1.3.3. Realizar acciones encaminadas a la actualización de la ordenación del Ecosistema de Manglar </t>
  </si>
  <si>
    <t>Número de acciones encaminadas a la ordenación del Ecosistema de Manglar realizadas</t>
  </si>
  <si>
    <t>En la vigencia 2025, se suscribió el Convenio 0002 del 2025 “AUNAR ESFUERZOS PARA IMPLEMENTAR ACCIONES DIRIGIDAS A LA CONSERVACIÓN DE LA BIODIVERSIDAD MARINO-COSTERA EN EL DEPARTAMENTO DEL ATLÁNTICO”.
Para dar cumplimiento a esto se desarrollaron las siguientes acciones:
•	Se apoyó y asesoró en las actuaciones necesarias para determinar si se requiere o no llevar a cabo la consulta previa en el marco de la actualización de la zonificación del ordenamiento del Manglar. (área del manglar objeto de ordenación, originalmente generada en formato shape y consolidada en el formato solicitado y documento técnico denominado “Características del sistema socio-ecológico del manglar”.
En cumplimiento de la normativa vigente y en atención a la obligación de adelantar los procesos de consulta previa, se ha elaborado y diligenciado el Formato de Solicitud de Determinación de Procedencia y Oportunidad de Consulta Previa para el proceso de actualización de la zonificación del ordenamiento de manglar.</t>
  </si>
  <si>
    <t>Avance en el ordenamiento del manglar</t>
  </si>
  <si>
    <t>2.1.3.4. Monitorear el ecosistema de manglar del departamento</t>
  </si>
  <si>
    <t>Número de monitoreos al ecosistema de manglar del departamento realizados</t>
  </si>
  <si>
    <t>En la vigencia 2025, se suscribió el Convenio 0002 del 2025 “AUNAR ESFUERZOS PARA IMPLEMENTAR ACCIONES DIRIGIDAS A LA CONSERVACIÓN DE LA BIODIVERSIDAD MARINO-COSTERA EN EL DEPARTAMENTO DEL ATLÁNTICO”, a través de este se llevó a cabo el monitoreo de las zonas que había sido intervenidas para la vigencia de 2024.
Como estrategia para el monitoreo de estas especies se ejecutaron las siguientes acciones:
•	Acción No.1 - Diez (10) visitas a campo que permitieron evidenciar el seguimiento a los procesos de rehabilitación del ecosistema de mangle en el Departamento del Atlántico, incluyendo las 8 ha que se rehabilitaron en la vigencia 2024.
•	Acción No.2- Documento que contenga la información detallada de los registros de monitoreos del ecosistema manglar, así como el diligenciamiento de la información en el sistema generado para ello en la vigencia 2024.</t>
  </si>
  <si>
    <t>PROGRAMA 2.2. ESTRATEGIAS REGIONALES DE CONSERVACIÓN</t>
  </si>
  <si>
    <t>Proyecto 2.2.1. Áreas Protegidas</t>
  </si>
  <si>
    <t>2.2.1.1. Declarar, ampliar, homologar o recategorizar áreas protegidas en el departamento inscritas ante el RUNAP</t>
  </si>
  <si>
    <t>Número de áreas protegidas regionales declaradas e inscritas en el RUNAP</t>
  </si>
  <si>
    <t>En la vigencia 2025, se suscribió Convenio 0002 del 2025 “AUNAR ESFUERZOS PARA IMPLEMENTAR ACCIONES DIRIGIDAS A LA CONSERVACIÓN DE LA BIODIVERSIDAD MARINO-COSTERA EN EL DEPARTAMENTO DEL ATLÁNTICO”, mediante el cual se expone que, el área propuesta para la declaratoria se localiza en el municipio de Piojó, llamada Cerro La Vieja, y se ubica al noroccidente del departamento del Atlántico. Tiene una extensión total de 1347,37 hectáreas, que componen la totalidad de 74 predios de acuerdo con la información predial catastral fuente; Instituto Geográfico Agustín Codazzi, IGAC - 2023. Tiene un perímetro de 23,05 kilómetros, limita al norte con el centro poblado de Piojó, al sur con el municipio de Luruaco, al noroccidente con la Reserva Forestal Protectora “El Palomar”, al oeste con el corregimiento de Hibácharo y al este con el municipio de Usiacurí y con el centro poblado del corregimiento Aguas vivas.</t>
  </si>
  <si>
    <t>Superficie de áreas protegidas regionales declaradas, ampliadas, homologadas o recategorizadas, inscritas en el RUNAP</t>
  </si>
  <si>
    <t>Miles de hectáreas de áreas protegidas</t>
  </si>
  <si>
    <t>2.2.1.2.(a)  Elaborar o actualizar los Planes de Manejo de las Áreas Protegidas del departamento</t>
  </si>
  <si>
    <t xml:space="preserve">Número de Planes de Manejo actualizados </t>
  </si>
  <si>
    <t>Áreas protegidas con planes de manejo en ejecución</t>
  </si>
  <si>
    <t>2.2.1.2.(b)  Elaborar o actualizar los Planes de Manejo de las Áreas Protegidas del departamento</t>
  </si>
  <si>
    <t>Número de Planes de Manejo elaborados</t>
  </si>
  <si>
    <t>2.2.1.3. Ejecutar acciones contempladas en los planes de manejo de las áreas protegidas declaradas en el departamento</t>
  </si>
  <si>
    <t>Número de acciones contempladas en los planes de manejo de las áreas protegidas declaradas en el departamento ejecutadas</t>
  </si>
  <si>
    <t>En  la vigencia 2025, se suscribió el convenio 0007 del 2025 “AUNAR ESFUERZO ADMINISTRATIVOS, TÉCNICOS Y FINANCIEROS PARA DESARROLLAR ACCIONES ENCAMINADAS A LA PROMOCIÓN, PROTECCIÓN Y CONSERVACIÓN DE LOS RECURSOS NATURALES Y LA BIODIVERSIDAD, A TRAVÉS DE LA IMPLEMENTACIÓN DE ESTRATEGIAS DE FORMACIÓN Y FORTALECIMIENTO EN LAS COMUNIDADES Y TERRITORIOS EN EL DEPARTAMENTO DEL ATLÁNTICO”, en el marco de este convenio, en el proceso de ejecución de acciones de conservación en las áreas protegidas declaradas en el departamento del Atlántico, se seleccionó el área protegida Reserva Forestal Protectora El Palomar ubicada en el municipio de Piojó, las actividades desarrolladas  tuvieron en cuenta el plan de acción de manejo del área tomando cinco  objetivos estratégicos. La información completa se encuentra registrada en el informe de gestión en la respectiva acción estrategica.</t>
  </si>
  <si>
    <t>Proyecto 2.2.2. Negocios Verdes</t>
  </si>
  <si>
    <t>2.2.2.1. (a) Implementar el Plan Nacional de Negocios Verdes </t>
  </si>
  <si>
    <t>Número de  nuevos Negocios Verdes Verificados (Emprendimiento, Empresas Avaladas/No Avaladas, Empresas Ancla), durante el cuatrienio</t>
  </si>
  <si>
    <t>En la vigencia 2025, se suscribió el Convenio 0006 del 2025 “AUNAR ESFUERZOS ADMINISTRATIVOS, TECNICOS Y FINANCIEROS PARA EL DESARROLLO CONJUNTO DE ESTRATEGIAS DE IDENTIFICACIÓN, CONSOLIDACIÓN Y FORTALECIMIENTO DE LOS NEGOCIOS VERDES, ASI COMO ACCIONES ENCAMINADAS PARA EL CONTROL, MONITOREO Y VIGILANCIA DE LOS RECURSOS NATURALES”, mediante el cual se realizó un proceso de convocatoria para la identificación y selección de quince (15) nuevos negocios verdes que cumplieron con los requisitos exigidos.</t>
  </si>
  <si>
    <t>Avance en la Implementación del Plan Nacional de Negocios Verdes por la Autoridad Ambiental</t>
  </si>
  <si>
    <t>Negocios verdes verificados</t>
  </si>
  <si>
    <t>2.2.2.1. (b) Implementar el Plan Nacional de Negocios Verdes </t>
  </si>
  <si>
    <t>Número de  Negocios Verdes Verificados con seguimiento (Emprendimiento, Empresas Avaladas/No Avaladas, Empresas Ancla), durante el cuatrienio</t>
  </si>
  <si>
    <t>Ajuste de meta fisica: Acuerdo 00034 del 02 de diciembre de 2025 del Consejo Directivo de la C.R.A.
 “Por medio del cual se aprueban los ajustes en las metas e indicadores de algunas acciones estratégicas del Plan de Acción Institucional (Por un Ambiente Sin Fronteras 2024 – 2027)” 
En la vigencia 2025 se suscribió el Convenio 0006 del 2025 “AUNAR ESFUERZOS ADMINISTRATIVOS, TECNICOS Y FINANCIEROS PARA EL DESARROLLO CONJUNTO DE ESTRATEGIAS DE IDENTIFICACIÓN, CONSOLIDACIÓN Y FORTALECIMIENTO DE LOS NEGOCIOS VERDES, ASI COMO ACCIONES ENCAMINADAS PARA EL CONTROL, MONITOREO Y VIGILANCIA DE LOS RECURSOS NATURALES”, como parte del proceso de fortalecimiento de los negocios verdes establecidos en el departamento del Atlántico, se planificó el  seguimiento técnico a 71 negocios verdes existentes y verificados por la Corporación Autónoma Regional del Atlántico bajo el siguiente esquema:
•	Solicitud del listado e información de los Negocios Verdes avalados por la Ventanilla de Negocios Verdes de la CRA.
•	Actualización de datos del negocio
•	Estado actual del negocio, si se encuentra activo o inactivo.
•	Inclusión de nuevos productos
•	Estado de los empleados 
•	Mejoramiento de procesos
•	Dificultades presentadas en el presente año 2025
•	Necesidades más relevantes 
•	Solicitud de Mejoramiento técnico, Crecimiento y Oportunidades empresariales
•	Verificar los datos de contacto de cada negocio
•	Establecer un primer contacto vía telefónica con cada uno de ellos
•	Programación de actividades o encuentros por zonas de acuerdo a la ubicación de cada uno de ellos: Zona Barranquilla, Zona Costera (Piojó), Zona Central (Galapa y Usiacurí).  La información completa se encuentra registrada en el informe de gestión en la respectiva acción estrategica.</t>
  </si>
  <si>
    <t>2.2.2.1. (c) Implementar el Plan Nacional de Negocios Verdes </t>
  </si>
  <si>
    <t>Número de acciones estratégicas que permitan desarrollar procesos para el fomento y fortalecimiento de los Negocios Verdes verificados ejecutadas</t>
  </si>
  <si>
    <t>En la vigencia 2025 se logró el cumplimiento a la meta a través de la suscripción del Convenio 0006 del 2025 “AUNAR ESFUERZOS ADMINISTRATIVOS, TECNICOS Y FINANCIEROS PARA EL DESARROLLO CONJUNTO DE ESTRATEGIAS DE IDENTIFICACIÓN, CONSOLIDACIÓN Y FORTALECIMIENTO DE LOS NEGOCIOS VERDES, ASI COMO ACCIONES ENCAMINADAS PARA EL CONTROL, MONITOREO Y VIGILANCIA DE LOS RECURSOS NATURALES.”
Dentro de las acciones estratégicas encaminadas al fortalecimiento de los negocios verdes de acuerdo a las necesidades que estos presentan en el campo digital, se llevó a cabo la transformación digital de 10 negocios verdes previamente seleccionados con el objetivo de diseñar una estrategia que tenga en cuenta todas las áreas de negocio de la empresa, situando a las personas en el centro de la misma y estableciendo hitos o metas adecuados.
Con este proceso se busca que la empresa asuma la evolución hacia una nueva cultura digital que busca beneficios como:
•	Generación de nuevas oportunidades de negocio y vías de ingresos.
•	Mejora de la eficiencia de los procesos internos.
•	Obtención de datos que permitan la mejora constante, detección y prevención de riesgos. 
•	Aumento de la competitividad empresarial.
Durante la ejecución del proyecto se ha implementado una estrategia integral de comunicación y visibilidad, orientada a promover y fortalecer los negocios verdes verificados por la Corporación Autónoma Regional del Atlántico (CRA).</t>
  </si>
  <si>
    <t>Proyecto 2.2.3. Programa regional de compensaciones</t>
  </si>
  <si>
    <t xml:space="preserve">2.2.3.1. Implementar programa regional de compensaciones ambientales agrupadas </t>
  </si>
  <si>
    <t>Número de programas regionales de compensaciones ambientales implementados</t>
  </si>
  <si>
    <t xml:space="preserve">Proyecto 2.2.4. Pago por servicios ambientales </t>
  </si>
  <si>
    <t>2.2.4.1.(a) Diseñar e Implementar Esquemas de Pago por Servicios Ambientales</t>
  </si>
  <si>
    <t>Numero de esquemas de pagos por servicios ambientales diseñado</t>
  </si>
  <si>
    <t>Durante la vigencia 2025, a corte 31 de diciembre se ha firmado el Convenio CV0012-2025, cuyo objeto es “Aunar esfuerzos financieros, administrativos, técnicos y operativos para diseñar, estructurar e implementar acciones integrales de gestión del riesgo frente a los fenómenos climáticos previstos durante la vigencia 2025. Estas acciones deben incluir actividades de prevención, preparación, mitigación, aislamiento y atención de impactos en el departamento del Atlántico, incorporando como medida clave la conservación y restauración de ecosistemas estratégicos asociados a la regulación hídrica, a través de un esquema de pago por servicios ambientales (PSA), que contribuya al fortalecimiento de la resiliencia ambiental y comunitaria del territorio”.
Con este Convenio se ha diseñado el Esquema de Pago por Servicios Ambientales en la microcuenca Arroyo Negro, municipio de Manatí y Luruaco.  La información completa se encuentra registrada en el informe de gestión en la respectiva acción estrategica.</t>
  </si>
  <si>
    <t>Implementación del Programa Nacional de Pagos por Servicios Ambientales en el marco del CONPES 3886 de 2017</t>
  </si>
  <si>
    <t>2.2.4.1.(b) Diseñar e Implementar Esquemas de Pago por Servicios Ambientales</t>
  </si>
  <si>
    <t xml:space="preserve">Porcentaje de avance en la implementación del esquema de pago por servicios ambientales </t>
  </si>
  <si>
    <t>Durante la vigencia 2025, a corte 31 de diciembre se ha firmado el Convenio CV0012-2025, cuyo objeto es “Aunar esfuerzos financieros, administrativos, técnicos y operativos para diseñar, estructurar e implementar acciones integrales de gestión del riesgo frente a los fenómenos climáticos previstos durante la vigencia 2025. Estas acciones deben incluir actividades de prevención, preparación, mitigación, aislamiento y atención de impactos en el departamento del Atlántico, incorporando como medida clave la conservación y restauración de ecosistemas estratégicos asociados a la regulación hídrica, a través de un esquema de pago por servicios ambientales (PSA), que contribuya al fortalecimiento de la resiliencia ambiental y comunitaria del territorio”.
Con este Convenio se busca implementar el Esquema de Pago por Servicios Ambientales en la microcuenca Arroyo Negro, municipio de Manatí y Luruaco. La información completa se encuentra registrada en el informe de gestión en la respectiva acción estrategica.</t>
  </si>
  <si>
    <t>Implementación del Programa Nacional de Pagos por Servicios Ambientales en el marco del CONPES 3886 de 2018</t>
  </si>
  <si>
    <t>2.2.4.2. Gestionar e implementar acciones para establecer esquemas de pago por servicios ambientales con entidades territoriales y sector privado del departamento.</t>
  </si>
  <si>
    <t>Número de proyectos implementados para el establecimiento de esquemas de Pagos por Servicios Ambientales</t>
  </si>
  <si>
    <t>A través del convenio No 012 del 2025 se realizó la Identificación y Delimitación de Ecosistemas Estratégicos del Sector Aguas Vivas en Punta Polonia tiene como propósito generar un insumo técnico integral que permita reconocer y valorar la importancia ecológica, social y productiva de un conjunto de predios ubicados en esta zona del municipio de Manatí, Atlántico. Esta área se distingue por la presencia de ecosistemas estratégicos que desempeñan funciones esenciales en la regulación hídrica y la conectividad biológica del territorio. Al realizar dicho análisis se busca gestionar acciones para establecer esquemas de pagos por servicios ambientales con entidades territoriales y sectores privados del departamento.</t>
  </si>
  <si>
    <t>Implementación del Programa Nacional de Pagos por Servicios Ambientales en el marco del CONPES 3886 de 2019</t>
  </si>
  <si>
    <t xml:space="preserve">Proyecto 2.2.5. Portafolio de áreas prioritarias para la conservación adoptado por la C.R.A. </t>
  </si>
  <si>
    <t>2.2.5.1. Actualizar el portafolio de áreas prioritarias para la conservación adoptado por la C.R.A.</t>
  </si>
  <si>
    <t xml:space="preserve">Número de portafolios de áreas  prioritarias para compensaciones por pérdida de biodiversidad actualizado </t>
  </si>
  <si>
    <t xml:space="preserve">En la vigencia 2.025 se suscribió el Convenio 014 del 2025 “AUNAR ESFUERZOS ADMINISTRATIVOS, TÉCNICOS Y FINANCIEROS PARA EL AJUSTE AL PLAN DE ORDENAMIENTO FORESTAL DE LA CORPORACIÓN AUTÓNOMA REGIONAL DEL ATLÁNTICO - CRA, A TRAVÉS DE LA CARACTERIZACIÓN, DIAGNÓSTICO Y ACTUALIZACIÓN DE LOS INSTRUMENTOS DE ORDENACIÓN FORESTAL DEL ÁREA DE SU JURISDICCIÓN, ORIENTADO AL FORTALECIMIENTO DE LA GESTIÓN Y LA GOBERNANZA”, en el marco del citado convenio se contempló la actualización del portafolio de áreas prioritarias para compensación la cual tiene un avance del 60% , represntados en las siguientes actividades:
1.	Actualización de la información de proyectos sectoriales presentes y futuros: infraestructura, hidrocarburos, eléctricos y minería. 
2.	Actualización de la información de los proyectos de conservación presentes en el departamento del Atlántico.
3.	Base de datos geográfica de las compensaciones en jurisdicción de la Corporación. 
4.	Actualización de los factores de compensación. 
5.	Actualización de las áreas importantes de conservación del Departamento del Atlántico. 
6.	Actualización de las áreas de conservación inscritas en el RUNAP.
7.	Actualización del mapa de las unidades hidrológicas a escala 1:25.000. 
8.	Actualización del mapa de ecosistemas regionales a escala 1:25.000. 
9.	Actualización de los escenarios de conservación. 
10.	Actualización de las acciones de compensación. 
</t>
  </si>
  <si>
    <t>LINEA ESTRATEGICA 3. PARTICIPACIÓN EQUITATIVA Y DIVERSA PARA LA INCLUSIÓN SOCIAL Y JUSTICIA AMBIENTAL</t>
  </si>
  <si>
    <t>PROGRAMA 3.1. E2 ECOEDUCA: TRANSFORMACIÓN SOCIOCULTURAL POR LA SOSTENIBILIDAD</t>
  </si>
  <si>
    <t>Proyecto 3.1.1. Fortalecimiento de los Comites Interinstitucionales de Educación Ambiental - CIDEA</t>
  </si>
  <si>
    <t xml:space="preserve">Número de CIDEA municipales apoyados </t>
  </si>
  <si>
    <t>Con la asesoría a los veintidós (22) municipios del departamento del Atlántico en la elaboración, ajuste y/o implementación de sus CIDEA, la Corporación Autónoma Regional del Atlántico cumplió con el 100% de la meta establecida para la vigencia 2025.
Como parte de las asesorías, se socializaron actos administrativos y se dio orientación a los actores institucionales que deben liderar los comités. Así mismo, con base en la información primaria educativa ambiental, que poseen los actores en el territorio, se adelantaron las primeras acciones y se identificaron actores relevantes que pueden aportar a la construcción del PEAM, para así, continuar el proceso de fortalecimiento de la institucionalización de las estrategias de educación ambiental en el Municipio.</t>
  </si>
  <si>
    <t>Se realiza la armonización con la LÍNEA ESTRATÉGICA 3. SOSTENIBILIDAD DEMOCRÁTICA, del Plan de Acción 2020-2023</t>
  </si>
  <si>
    <t>3208 Educación Ambiental</t>
  </si>
  <si>
    <t>Ejecución de acciones en educación ambiental</t>
  </si>
  <si>
    <t>Número de iniciativas de los Comités Técnicos Interinstitucionales de Educación Ambiental Departamental -CIDEA apoyados</t>
  </si>
  <si>
    <t>En el marco del Convenio de Asociación No.001 del 2025 cuyo objeto es: “AUNAR ESFUERZOS PARA EL DESARROLLO CONJUNTO DE UN PROGRAMA DE FORMACIÓN CIUDADANA, A TRAVÉS DE ACTORES COMUNITARIOS A DOTAR CON CAPACIDAD TÉCNICA PARA ORIENTAR LOS PROCESOS PARTICIPATIVOS EN TERRITORIOS.”, la Corporación Autónoma Regional del Atlántico (C.R.A.) apoyó una iniciativa estratégica del Comité Técnico Interinstitucional de Educación Ambiental Departamental (CIDEA), dando cumplimiento e incluso superando la meta establecida para la vigencia 2025.
Por otra parte, el día 10 de diciembre del 2025 se realizó una reunión en la ciudad de Barranquilla con los miembros del CIDEA departamental, este espacio permitió fortalecer la articulación institucional, dinamizar el diálogo entre entidades públicas, privadas y comunitarias, y establecer rutas de trabajo conjuntas para potenciar la educación ambiental como un eje transversal de desarrollo sostenible en la región. Asimismo, se generaron aportes significativos para la consolidación de estrategias que promuevan la participación de los sectores involucrados y se sentaron bases para la futura adopción de dicha política, alineada con las prioridades ambientales departamentales.</t>
  </si>
  <si>
    <t>Proyecto 3.1.2 Inclusión de lo ambiental en la educación formal</t>
  </si>
  <si>
    <t>Número de instituciones educativas públicas apoyadas en la elaboración, ajuste o implementación de los Proyectos Ambientales Escolares (PRAE).</t>
  </si>
  <si>
    <t xml:space="preserve">A diciembre 31 del 2025, la Corporación apoyó en la elaboración, ajuste o implementación de los Proyectos Ambientales Escolares (PRAE) a cuarenta (40) Instituciones Educativas Públicas, cumpliendo con el 100% de la meta programada para la vigencia 2025.
Las actividades desarrolladas se ejecutaron en el marco del convenio de Asociación No.008 del 2025 cuyo objeto es: “AUNAR ESFUERZOS PARA DESARROLLAR ESTRATEGIAS DE EDUCACIÓN AMBIENTAL QUE PROMUEVAN LA SOSTENIBILIDAD, LA PARTICIPACIÓN CIUDADANA Y LA EQUIDAD DE GÉNERO DE COMUNIDADES INDÍGENAS, NARP Y RROM”. La información completa se encuentra registrada en el informe de gestión en la respectiva acción estrategica </t>
  </si>
  <si>
    <t>Número de semilleros de investigación o grupos ecológicos asistidos en sus  iniciativas ambientales</t>
  </si>
  <si>
    <t>En el marco del convenio de Asociación No.008 del 2025 cuyo objeto es: “AUNAR ESFUERZOS PARA DESARROLLAR ESTRATEGIAS DE EDUCACIÓN AMBIENTAL QUE PROMUEVAN LA SOSTENIBILIDAD, LA PARTICIPACIÓN CIUDADANA Y LA EQUIDAD DE GÉNERO DE COMUNIDADES INDÍGENAS, NARP Y RROM”, la C.R.A. brindó asistencia a quince (15) semilleros de investigación o grupos ecológicos, dando cumplimiento al 100% de la meta fijada para la vigencia 2025. La información completa se encuentra registrada en el informe de gestión en la respectiva acción estrategica.</t>
  </si>
  <si>
    <t>Número de Instituciones de Educación Superior apoyadas en la realización de iniciativas que promuevan lo ambiental</t>
  </si>
  <si>
    <t>La obligación se dio por cumplida mediante la articulación institucional con la Universidad del Atlántico, con la cual se desarrollaron acciones conjuntas orientadas al fortalecimiento de procesos formativos e investigativos en educación ambiental. Como resultado de esta articulación, se diseñaron y elaboraron publicaciones pedagógicas y técnicas relacionadas con la comprensión contextual del cambio climático en el aula y los lineamientos técnicos de educación ambiental para el sector de la construcción.
Los productos generados fueron socializados en el marco del Programa y el Observatorio Mesoamericano de Educación Ambiental, iniciativa liderada por Colombia que articula a diez países de la región mesoamericana, contribuyendo al diálogo de saberes, la cooperación técnica y la construcción de una cultura ambiental ética y crítica, en coherencia con los planes de acción del corredor biológico mesoamericano.</t>
  </si>
  <si>
    <t>Proyecto 3.1.3. Inclusión del tema ambiental en la educación no formal</t>
  </si>
  <si>
    <t>Número de Proyectos Ciudadanos de Educación Ambiental – PROCEDA o iniciativas ambientales comunitarias asistidos</t>
  </si>
  <si>
    <t>Con la asistencia de cuatro (4) PROCEDA, a través de actividades desarrolladas en el marco del convenio de Asociación No.008 del 2025 cuyo objeto es: “AUNAR ESFUERZOS PARA DESARROLLAR ESTRATEGIAS DE EDUCACIÓN AMBIENTAL QUE PROMUEVAN LA SOSTENIBILIDAD, LA PARTICIPACIÓN CIUDADANA Y LA EQUIDAD DE GÉNERO DE COMUNIDADES INDÍGENAS, NARP Y RROM, la C.R.A., se dio cumplimento al 100% de la meta correspondiente a la vigencia 2025. La información completa se encuentra registrada en el informe de gestión en la respectiva acción estrategica.</t>
  </si>
  <si>
    <t xml:space="preserve">Número de procesos impulsados para la cualificación en materia de Educación Ambiental en los multiplicadores y dinamizadores ambientales del departamento </t>
  </si>
  <si>
    <t>Con la ejecución del convenio de Asociación No.008 del 2025 cuyo objeto es: “AUNAR ESFUERZOS PARA DESARROLLAR ESTRATEGIAS DE EDUCACIÓN AMBIENTAL QUE PROMUEVAN LA SOSTENIBILIDAD, LA PARTICIPACIÓN CIUDADANA Y LA EQUIDAD DE GÉNERO DE COMUNIDADES INDÍGENAS, NARP Y RROM, se desarrolló una iniciativa pedagógica comunitaria en el departamento del Atlántico, orientada a fortalecer los procesos de educación ambiental a través de acciones formativas, la creación y circulación de contenidos relacionados con la sostenibilidad y la protección del entorno, incorporando el arte como medio de expresión, reflexión y sensibilización colectiva, cumpliendo a diciembre 31 del 2025 con la meta programada para la vigencia 2025.</t>
  </si>
  <si>
    <t>Número de Guardianes del Medio Ambiente GUMA formados para apoyar acciones prácticas de la gestión ambiental de la Corporación C.R.A. en los municipios del departamento del Atlantico</t>
  </si>
  <si>
    <t>Es preciso aclarar que, en cumplimiento del Plan de Acción Institucional 2024-2027 “Por un ambiente sin fronteras”,  la Corporación Autónoma Regional del Atlántico – C.R.A a través de la Escuela Regional de Liderazgo Ambiental, formó en la vigencia 2024 a noventa (90) Guardianes del Medio Ambiente - GUMA, a quienes en la vigencia 2025 a través del convenio de asociación No.001 del 2025 cuyo objeto es: “AUNAR ESFUERZOS PARA EL DESARROLLO CONJUNTO DE UN PROGRAMA DE FORMACIÓN CIUDADANA, A TRAVÉS DE ACTORES COMUNITARIOS A DOTAR CON CAPACIDAD TÉCNICA PARA ORIENTAR LOS PROCESOS PARTICIPATIVOS EN TERRITORIOS”, siguió fortaleciendo a través de procesos de formación teórico – prácticos con el diplomado “Guardianes del Medio Ambiente – GUMA”, dando cumplimiento a la meta programa para la vigencia 2025 e incluso incorporando a diez (10) jovenes más, llegando a Cien (100) GUMA formados en la vigencia, superando así la meta fijada para dicha vigencia.</t>
  </si>
  <si>
    <t>Número de jóvenes formados como Gestores Ambientales Urbanos (GAU) en el Departamento</t>
  </si>
  <si>
    <t>En el marco del convenio de asociación No.001 del 2025 cuyo objeto fue: “AUNAR ESFUERZOS PARA EL DESARROLLO CONJUNTO DE UN PROGRAMA DE FORMACIÓN CIUDADANA, A TRAVÉS DE ACTORES COMUNITARIOS A DOTAR CON CAPACIDAD TÉCNICA PARA ORIENTAR LOS PROCESOS PARTICIPATIVOS EN TERRITORIOS”, la Corporación Autónoma Regional del Atlántico C.R.A., formó a doscientos diecisiete (217) jóvenes como Gestores Ambientales Urbanos (GAU) en el Departamento, dando cumplimiento e incluso superando la meta fijada para la vigencia 2025.</t>
  </si>
  <si>
    <t>Número de acciones del Plan de Actuación Estratégico Territorial Ambiental del Departamento del Atlántico implementadas</t>
  </si>
  <si>
    <t>Se dio cumplimiento a la meta programada para la vigencia 2025. Esta acción se logró a través del Convenio de Asociación No.001 del 2.025 cuyo objeto es: “AUNAR ESFUERZOS PARA EL DESARROLLO CONJUNTO DE UN PROGRAMA DE FORMACIÓN CIUDADANA, A TRAVÉS DE ACTORES COMUNITARIOS A DOTAR CON CAPACIDAD TÉCNICA PARA ORIENTAR LOS PROCESOS PARTICIPATIVOS EN TERRITORIOS.”
En el marco del convenio mencionado se creó la Figura de Autoridad Comunitaria Ambiental en el departamento del Atlántico, conformada por los 90 Guardianes del Medio Ambiente, fortaleciendo la comunicación y la gestión de la C.R.A. en cada uno de los municipios. Esta acción se cumplió de manera satisfactoria, en concordancia con las actividades definidas para dar cumplimiento a los propósitos establecidos en el Plan de Actuación Estratégico Territorial Ambiental, contribuyendo a la articulación institucional y al fortalecimiento de la participación ciudadana en los procesos de gestión ambiental.</t>
  </si>
  <si>
    <t>Número de estrategias implementadas para fomentar en niños del departamento del Atlántico la protección del ambiente</t>
  </si>
  <si>
    <t>Con la implementación de dos (2) estrategias para fomentar en niños del departamento del Atlántico la protección del ambiente se cumplió e incluso se superó en la vigencia 2025 la meta programada.
En el marco del convenio No. 0007-2.025 cuyo objeto es: “AUNAR ESFUERZOS ADMINISTRATIVOS, TECNICOS Y FINANCIEROS PARA DESARROLLAR ACCIONES ENCAMINADAS A LA PROMOCIÓN, PROTECCIÓN Y CONSERVACIÓN DE LOS RECURSOS NATURALES Y LA BIODIVERSIDAD, A TRAVÉS DE LA IMPLEMENTACIÓN DE ESTRATEGIAS DE FORMACIÓN Y FORTALECIMIENTO EN LAS COMUNIDADES Y TERRITORIOS EN EL DEPARTAMENTO DEL ATLÁNTICO”, la C.R.A. desarrolló actividades que se materializaron en el logro de los siguientes productos:
a)	Se desarrolló en los Colegios Marymount, Británico y San José, Un (1) taller educativo ambiental en el que participaron más de 200 estudiantes.
b)	Se elaboraron y se distribuyeron 100 cartillas con información relacionada con la fauna y la flora existente en las instituciones educativas, con la finalidad de que los estudiantes conozcan sobre ellos y la importancia del cuido de las mismas.
c)	Se instalaron Ocho (8) puntos ecológicos relacionados con reducir, reciclar y reusar los residuos de todo tipo, ordinarios, peligrosos, RAEE entre otros. La instalación de los puntos se hizo con campañas sobre el uso adecuado de los residuos.
d)	Se desarrolló un proyecto ambiental en cada institución, con la dotación de los insumos solicitados según sus necesidades.
La información completa se encuentra registrada en el informe de gestión en la respectiva acción estrategica.</t>
  </si>
  <si>
    <t>Proyecto 3.1.4. Articulación de la educación ambiental con el sistema de gestión del riesgo y cambio climático</t>
  </si>
  <si>
    <t>Número de acciones desde la Educación Ambiental para la consolidación de una cultura en el marco de la  gestión del riesgo y del cambio climático.</t>
  </si>
  <si>
    <t>Con el desarrollo de la segunda edición del Panel Departamental Ambiental – Cambio Climático y Descarbonización, realizado el día 13 de septiembre en las instalaciones de la Corporación Universitaria Reformada – CUR, se dio cumplimiento a la meta programada para la vigencia 2025.
En el marco del convenio No. 001 del 2.025 cuyo objeto es: “AUNAR ESFUERZOS PARA EL DESARROLLO CONJUNTO DE UN PROGRAMA DE FORMACIÓN CIUDADANA, A TRAVÉS DE ACTORES COMUNITARIOS A DOTAR CON CAPACIDAD TÉCNICA PARA ORIENTAR LOS PROCESOS PARTICIPATIVOS EN TERRITORIOS”, se desarrolló un ejercicio integral de articulación académica, logística y profesional que permitió reunir a expertos, científicos y actores técnicos en un espacio de diálogo especializado.</t>
  </si>
  <si>
    <t>Proyecto 3.1.5. Fortalecimiento de estrategias de participación ciudadana que apunten al cumplimiento del Acuerdo de Escazú.</t>
  </si>
  <si>
    <t>Número de estrategias de participación ciudadana que apunten al cumplimiento del Acuerdo de Escazú</t>
  </si>
  <si>
    <t>Con la ejecución del convenio No. 001 del 2.025 cuyo objeto es: “AUNAR ESFUERZOS PARA EL DESARROLLO CONJUNTO DE UN PROGRAMA DE FORMACIÓN CIUDADANA, A TRAVÉS DE ACTORES COMUNITARIOS A DOTAR CON CAPACIDAD TÉCNICA PARA ORIENTAR LOS PROCESOS PARTICIPATIVOS EN TERRITORIOS” se dio cumplimiento al 100% de la meta programada.
La estrategia de participación ciudadana que apunta al cumplimiento del Acuerdo de Escazú se realizó con el II Encuentro de Líderes y Defensores Ambientales del Departamento del Atlántico: Voces que Persisten. Llevado a cabo el 20 de junio de 2.025 en las instalaciones de la Corporación Universitaria Reformada. Este espacio congregó a 27 líderes y defensores ambientales provenientes de los diferentes municipios del departamento, quienes representaron a sus territorios con compromiso y vocación. Asimismo, participaron 27 estudiantes pertenecientes a los distintos diplomados de la Escuela Regional de Liderazgo Ambiental, fortaleciendo con su presencia el diálogo intergeneracional y el intercambio de saberes.</t>
  </si>
  <si>
    <t>Proyecto 3.1.6. Conocimiento y sensibilización para la consolidación de la cultura ambiental.</t>
  </si>
  <si>
    <t>Número de acciones para la transferencia de conocimiento o campañas ambientales con intencionalidad pedagógica realizadas</t>
  </si>
  <si>
    <t>En el marco de la acción estratégica definida en el Plan de Acción Institucional (PAI) 2024–2027, se desarrolló la construcción y dotación de un espacio ludotecario ambiental en la Institución Educativa Nuestra Señora de la Candelaria, ubicada en el municipio de Candelaria, Atlántico, dando cumplimiento a la meta fijada para el año 2025.
El espacio ludotecario se entregó a la institución educativa como estrategia pedagógica orientada a fortalecer los procesos de educación ambiental en la población infantil. Esta ludoteca fue diseñada y adecuada para brindar un entorno lúdico y formativo que promueve la creatividad, la interacción social y el aprendizaje activo, integrando materiales y dinámicas enfocadas en la conservación de los recursos naturales, el manejo responsable de los ecosistemas y la generación de hábitos sostenibles desde la niñez.</t>
  </si>
  <si>
    <t>Proyecto 3.1.7. Inclusión de la perspectiva de género para un desarrollo sostenible centrado en la equidad en el departamento del Atlántico.</t>
  </si>
  <si>
    <t>Número de iniciativas  con perspectiva de género que promuevan la sustentabilidad del territorio en el departamento del Atlántico realizadas</t>
  </si>
  <si>
    <t xml:space="preserve">A 31 de diciembre de 2.025 se cumplió con la meta programada para dicha vigencia. Las acciones que permitieron este logro se desarrollaron en el marco del convenio No. 008 del 2.025, cuyo objeto es: “AUNAR ESFUERZOS PARA DESARROLLAR ESTRATEGIAS DE EDUCACIÓN AMBIENTAL QUE PROMUEVAN LA SOSTENIBILIDAD, LA PARTICIPACIÓN CIUDADANA Y LA EQUIDAD DE GÉNERO DE COMUNIDADES INDÍGENAS, NARP Y RROM”.
A través del convenio se implementó un programa de capacitación dirigido a mujeres de comunidades indígenas, Rrom y afrodescendientes, reconociendo su rol fundamental en el desarrollo sostenible de la región. </t>
  </si>
  <si>
    <t>Proyecto 3.1.8. Escenarios de divulgación de intercambio de conocimiento de educación ambiental a nivel departamental regional, nacional o internacional.</t>
  </si>
  <si>
    <t>Número de escenarios de divulgación de la educación ambiental a nivel departamental, regional, nacional o internacional promovidos</t>
  </si>
  <si>
    <t>En cumplimiento de las acciones definidas para el fortalecimiento de la educación ambiental con enfoque regional, la Corporación Autónoma Regional del Atlántico – C.R.A., desarrolló un ejercicio estratégico de divulgación y cooperación territorial a través de su participación en dos escenarios interdepartamentales realizados en las ciudades de Sincelejo (Sucre) y Montería (Córdoba), dando cumplimiento así, a la meta programada en la vigencia 2025.Otro escenario de divulgación integrada por nueve (9) representantes de la Escuela Regional de Liderazgo Ambiental (ERLA) - cinco (5) estudiantes y cuatro (4) coordinadoras -, lo cual constituyó un hito significativo en el proceso de consolidación y proyección internacional de la Corporación. Este ejercicio estuvo precedido por una fase de preparación académica y metodológica, orientada al fortalecimiento de competencias en adaptación y mitigación del cambio climático, justicia climática, economía circular y gobernanza ambiental.</t>
  </si>
  <si>
    <t>Número de eventos o ferias ambientales dirigidas a las organizaciones ambientales del Departamento apoyadas</t>
  </si>
  <si>
    <t>En el marco del convenio No. 001 del 2.025 cuyo objeto es: “AUNAR ESFUERZOS PARA EL DESARROLLO CONJUNTO DE UN PROGRAMA DE FORMACIÓN CIUDADANA, A TRAVÉS DE ACTORES COMUNITARIOS A DOTAR CON CAPACIDAD TÉCNICA PARA ORIENTAR LOS PROCESOS PARTICIPATIVOS EN TERRITORIOS”, se organizó un evento-feria denominado “Primer Biofest 2025”, un espacio académico y vivencial creado para presentar las experiencias y resultados alcanzados por los estudiantes de cada diplomado desarrollado para la formación de los GUMA y GAU, cumpliendo de esta manera con la meta establecida para la vigencia 2025.</t>
  </si>
  <si>
    <t>PROGRAMA 3.2. SEMBRANDO SABER: CULTIVANDO EL CONOCIMIENTO AMBIENTAL DEL ATLÁNTICO</t>
  </si>
  <si>
    <t>Proyecto 3.2.1. Reconocimiento de los saberes y conocimientos tradicionales de las etnias del departamento y su incorporación para la sustentabilidad ambiental</t>
  </si>
  <si>
    <t>Número de iniciativas para fortalecer los conocimientos, usos, costumbres, saberes y prácticas tradicionales ambientales de las comunidades negras del Departamento del Atlántico apoyadas</t>
  </si>
  <si>
    <t>A 31 de diciembre de 2.025 en el marco del convenio No. 008 del 2.025, cuyo objeto es: “AUNAR ESFUERZOS PARA DESARROLLAR ESTRATEGIAS DE EDUCACIÓN AMBIENTAL QUE PROMUEVAN LA SOSTENIBILIDAD, LA PARTICIPACIÓN CIUDADANA Y LA EQUIDAD DE GÉNERO DE COMUNIDADES INDÍGENAS, NARP Y RROM”, la Corporación desarrolló acciones que permitieron lograr el cumplimiento de la meta fijada para la presente vigencia.
En desarrollo de las actividades previstas en el convenio, se identificaron los municipios con presencia representativa de comunidades negras, afrocolombianas, raizales y palenqueras (NARP). Este ejercicio se llevó a cabo de forma articulada con el supervisor del proyecto, buscando focalizar territorialmente las intervenciones en contextos con condiciones socioculturales y ambientales favorables.</t>
  </si>
  <si>
    <t>Número de iniciativas para fortalecer los conocimientos, usos, costumbres, saberes y prácticas tradicionales ambientales de las comunidades indígenas del Departamento del Atlántico</t>
  </si>
  <si>
    <t>A través del convenio No. 008 del 2.025, cuyo objeto es: “AUNAR ESFUERZOS PARA DESARROLLAR ESTRATEGIAS DE EDUCACIÓN AMBIENTAL QUE PROMUEVAN LA SOSTENIBILIDAD, LA PARTICIPACIÓN CIUDADANA Y LA EQUIDAD DE GÉNERO DE COMUNIDADES INDÍGENAS, NARP Y RROM”, la Corporación Autónoma Regional de Atlántico - C.R.A. implementó una iniciativa orientada al fortalecimiento de los conocimientos, usos, costumbres, saberes y prácticas tradicionales ambientales de las comunidades Indígenas y Rrom tradicionalmente del departamento del Atlántico, dando cumplimiento a la meta programada para la presente vigencia.
En el marco de las actividades del convenio, se identificaron los municipios con presencia significativa de comunidades indígenas y del pueblo Rrom, con el objetivo de orientar territorialmente las acciones hacia zonas con identidad cultural fortalecida y condiciones propicias para su desarrollo.</t>
  </si>
  <si>
    <t>Número de iniciativas para fortalecer los conocimientos, usos, costumbres, saberes y prácticas tradicionales ambientales de las comunidades Rrom del Departamento del Atlántico</t>
  </si>
  <si>
    <t>A través del convenio No. 008 del 2.025, cuyo objeto es: “AUNAR ESFUERZOS PARA DESARROLLAR ESTRATEGIAS DE EDUCACIÓN AMBIENTAL QUE PROMUEVAN LA SOSTENIBILIDAD, LA PARTICIPACIÓN CIUDADANA Y LA EQUIDAD DE GÉNERO DE COMUNIDADES INDÍGENAS, NARP Y RROM”, la Corporación Autónoma Regional de Atlántico - C.R.A. implementó una iniciativa orientada al fortalecimiento de los conocimientos, usos, costumbres, saberes y prácticas tradicionales ambientales de las comunidades Rrom tradicionalmente del departamento del Atlántico, dando cumplimiento a la meta programada para la presente vigencia.
En el marco de las actividades del convenio, se identificaron los municipios con presencia significativa de comunidades del pueblo Rrom, con el objetivo de orientar territorialmente las acciones hacia zonas con identidad cultural fortalecida y condiciones propicias para su desarrollo. La información completa se encuentra registrada en el informe de gestión en la respectiva acción estrategica.</t>
  </si>
  <si>
    <t>PROGRAMA3.3. NATURALIANZA: ALIANZAS POR EL DESARROLLO SOSTENIBLE Y LA PROTECCIÓN AMBIENTAL</t>
  </si>
  <si>
    <t>Proyecto 3.3.1. Realizar seguimiento y monitoreo a escala comunitaria de los Objetivos de Desarrollo Sostenible - ODS en el Departamento del Atlántico</t>
  </si>
  <si>
    <t>Número de Documentos Técnico con el informe anual de seguimiento a los ODS de los municipios del Departamento</t>
  </si>
  <si>
    <t xml:space="preserve">Se dio cumplimiento a la meta fijada para la vigencia 2025. Las actividades desarrolladas para lograr la consolidación del informe se realizaron en el marco del convenio No. 001 del 2.025 cuyo objeto es: “AUNAR ESFUERZOS PARA EL DESARROLLO CONJUNTO DE UN PROGRAMA DE FORMACIÓN CIUDADANA, A TRAVÉS DE ACTORES COMUNITARIOS A DOTAR CON CAPACIDAD TÉCNICA PARA ORIENTAR LOS PROCESOS PARTICIPATIVOS EN TERRITORIOS”.
La elaboración del documento técnico sobre los Objetivos de Desarrollo Sostenible en el Departamento del Atlántico constituyó un ejercicio metodológico de profunda relevancia para comprender cómo las metas globales de sostenibilidad se expresan, avanzan o enfrentan barreras en el contexto territorial real del departamento. Este trabajo se desarrolló a partir de un análisis integral de las cuatro zonas del Atlántico —centro, oriental, sur y costera, con énfasis en tres ODS estratégicos: 
	ODS 6, relacionado con el acceso al agua limpia y el saneamiento
	ODS 13, enfocado en la acción por el clima
	ODS 15, orientado a la protección y restauración de los ecosistemas terrestres. </t>
  </si>
  <si>
    <t>LINEA ESTRATEGICA 4. GESTION PARA LA SOSTENIBILIDAD TERRITORIAL Y SECTORIAL.</t>
  </si>
  <si>
    <t>PROGRAMA 4.1. SOS-TERRA: ORDENANDO AMBIENTALMENTE EL TERRITORIO</t>
  </si>
  <si>
    <t>Proyecto 4.1.1. Determinantes Ambientales</t>
  </si>
  <si>
    <t>4.1.1.1. Elaborar la estructura ecológica del Departamento del Atlántico</t>
  </si>
  <si>
    <t>Número de documentos elaborados de la estructura ecológica del Departamento del Atlántico</t>
  </si>
  <si>
    <t>3205 Ordenamiento ambiental territorial</t>
  </si>
  <si>
    <t>4.1.1.2. Actualizar la información ambiental en el marco del ordenamiento ambiental del territorio</t>
  </si>
  <si>
    <t>Número de  informes de actualización de la determinante ambiental en el marco del ordenamiento territorial actualizados</t>
  </si>
  <si>
    <t>A corte de 31 de diciembre de la vigencia 2025, el informe que da cumplimiento a este indicador corresponde a la entrega de los avances en la ejecución de la revisión y ajuste del POMCA de la ciénaga de Mallorquín y los Arroyos Grande y León, la cual se constituye en determinante ambiental para el ordenamiento territorial de los municipios que forman parte de la cuenca. Otras acciones que se realizaron en el marco de este indicador fue la actualización de la ficha técnica de las siguientes determinantes.</t>
  </si>
  <si>
    <t>Se realiza la armonización con la LÍNEA ESTRATÉGICA No. 4. SOSTENIBILIDAD SECTORIAL, del Plan de Acción 2020-2023</t>
  </si>
  <si>
    <t>Proyecto 4.1.2. Instrumentos de Planificación</t>
  </si>
  <si>
    <t xml:space="preserve">Municipios asistidos en la inclusión del componente ambiental en los procesos de planificación y ordenamiento territorial, con énfasis en la incorporación de las determinantes ambientales para la revisión y ajuste de los POT - IMG </t>
  </si>
  <si>
    <t>Para el cumplimiento de esta meta, se desarrollaron las siguientes actividades:
	Elaboración del cronograma de asistencias técnicas a los 23 entes territoriales de jurisdicción de esta Corporación.
	Asistencia técnica al municipio de Suan, para la incorporación de las determinantes ambientales para la revisión y ajuste de los POT, el día 7 de mayo de 2.025 a partir de las 10:00 a.m. en la alcaldía municipal.
	Asistencia técnica al municipio de Piojó, para la incorporación de las determinantes ambientales para la revisión y ajuste de los POT, el día 18 de junio de 2.025 a partir de las 10:00 a.m. en la alcaldía municipal.
	Asistencia técnica al municipio de Usiacurí, para la incorporación de las determinantes ambientales para la revisión y ajuste de los POT, el día 25 de junio de 2.025 a partir de las 10:00 a.m. en la alcaldía municipal.
	Asistencia técnica al municipio de Baranoa, para la incorporación de las determinantes ambientales para la revisión y ajuste de los POT, el día 25 de junio de 2.025 a partir de las 2:00 p.m. en la alcaldía municipal.
	Asistencia técnica al municipio de Santo Tomas, para la incorporación de las determinantes ambientales para la revisión y ajuste de los POT, el día 09 de julio de 2.025 a partir de las 10:00 a.m. en la alcaldía municipal.
	Asistencia técnica al municipio de Polonuevo, para la incorporación de las determinantes ambientales para la revisión y ajuste de los POT, el día 09 de julio de 2.025 a partir de las 2:00 p.m. en la Corporación Autónoma Regional del Atlántico, C.R.A.
	Asistencia técnica al municipio de Palmar de Varela, para la incorporación de las determinantes ambientales para la revisión y ajuste de los POT, el día 22 de julio de 2.025 a partir de las 2:00 p.m. en la alcaldía municipal.
	Asistencia técnica al municipio de Sabanagrande, para la incorporación de las determinantes ambientales para la revisión y ajuste de los POT, el día 29 de julio de 2.025 a partir de las 10:00 a.m. en la alcaldía municipal.
	Asistencia técnica al municipio de Malambo, para la incorporación de las determinantes ambientales para la revisión y ajuste de los POT, el día 29 de julio de 2.025 a partir de las 2:00 p.m. en la alcaldía municipal.
	Asistencia técnica al municipio de Santa Lucía, para la incorporación de las determinantes ambientales para la revisión y ajuste de los POT, el día 08 de agosto de 2.025 a partir de las 10:00 a.m. en la alcaldía municipal.
	Asistencia técnica al municipio de Repelón, para la incorporación de las determinantes ambientales para la revisión y ajuste de los POT, el día 08 de agosto de 2.025 a partir de las 2:00 p.m. en la alcaldía municipal.
	Asistencia técnica al municipio de Manatí, para la incorporación de las determinantes ambientales para la revisión y ajuste de los POT, el día 12 de agosto de 2.025 a partir de las 10:00 a.m. en la alcaldía municipal.
	Asistencia técnica al municipio de Galapa, para la incorporación de las determinantes ambientales para la revisión y ajuste de los POT, el día 13 de agosto de 2.025 a partir de las 10:00 a.m. en la alcaldía municipal.
	Asistencia técnica al municipio de Soledad, para la incorporación de las determinantes ambientales para la revisión y ajuste de los POT, el día 13 de agosto de 2.025 a partir de las 2:00 p.m. en la alcaldía municipal.
	Asistencia técnica al municipio de Campo de la Cruz, para la incorporación de las determinantes ambientales para la revisión y ajuste de los POT, el día 19 de agosto de 2.025 a partir de las 10:00 a.m. en la alcaldía municipal.
	Asistencia técnica al municipio de Ponedera, para la incorporación de las determinantes ambientales para la revisión y ajuste de los POT, el día 19 de agosto de 2.025 a partir de las 2:00 p.m. en la alcaldía municipal.
	Asistencia técnica al municipio de Juan de Acosta, para la incorporación de las determinantes ambientales para la revisión y ajuste de los POT, el día 19 de agosto de 2.025 a partir de las 2:00 p.m. en la Corporación Autónoma Regional del Atlántico, C.R.A.
	Asistencia técnica al municipio de Luruaco, para la incorporación de las determinantes ambientales para la revisión y ajuste de los POT, el día 27 de agosto de 2.025 a partir de las 10:00 a.m. en la alcaldía municipal.
	Asistencia técnica al municipio de Sabanalarga, para la incorporación de las determinantes ambientales para la revisión y ajuste de los POT, el día 27 de agosto de 2.025 a partir de las 2:00 p.m. en la alcaldía municipal.
	Asistencia técnica al municipio de Candelaria, para la incorporación de las determinantes ambientales para la revisión y ajuste de los POT, el día 28 de agosto de 2.025 a partir de las 10:00 a.m. en la alcaldía municipal.
	Asistencia técnica al municipio de Tubará, para la incorporación de las determinantes ambientales para la revisión y ajuste de los POT, el día 02 de septiembre de 2.025 a partir de las 10:00 a.m. en la alcaldía municipal.
	Asistencia técnica al municipio de Barranquilla, para la incorporación de las determinantes ambientales para la revisión y ajuste de los POT, el día 01 de octubre de 2.025 a partir de las 10:00 a.m. en la alcaldía municipal.
	Asistencia técnica al municipio de Puerto Colombia, para la incorporación de las determinantes ambientales para la revisión y ajuste de los POT, el día 01 de octubre de 2.025 a partir de las 2:00 p.m. en la alcaldía municipal.</t>
  </si>
  <si>
    <t xml:space="preserve">Municipios asesorados o asistidos en la inclusión del componente ambiental en los procesos de planificación y ordenamiento territorial, con énfasis en la incorporación de las determinantes ambientales para la revisión y ajuste de los POT </t>
  </si>
  <si>
    <t>Porcentaje de departamentos y ciudades capitales que incorporan criterios de cambio climático en las líneas instrumentales de sus planes de desarrollo</t>
  </si>
  <si>
    <t>PROGRAMA 4.2. CONMONITOR: CONTROL Y MONITOREO DE LOS RECURSOS NATURALES Y EL AMBIENTE</t>
  </si>
  <si>
    <t>Proyecto 4.2.1. Salud Ambiental</t>
  </si>
  <si>
    <t>4.2.1.1. Ejecutar acciones orientadas a implementar la Política Integral de la Salud Ambiental en el departamento del Atlántico.</t>
  </si>
  <si>
    <t>Número de Acciones dirigidas a implementar la Política Integral del Salud Ambiental ejecutadas</t>
  </si>
  <si>
    <t>En el marco de ejecutar acciones orientadas a implementar la Política Integral de la Salud Ambiental en el departamento del Atlántico, en el primer semestre de 2.025, la Corporación Autónoma Regional del Atlántico participó activamente en el CONSEJO TERRITORIAL DE SALUD AMBIENTAL (COTSA), en espacios de colaboración interinstitucional destinado a establecer estrategias conjuntas para abordar temas de salud pública asociadas a condiciones ambientales, en 3 campos específicos:
1.	Sustancias químicas y residuos peligrosos
2.	Agua potable y saneamiento básico
3.	Calidad de aire y cambio climático</t>
  </si>
  <si>
    <t>3201 Fortalecimiento del desempeño ambiental de los sectores productivos</t>
  </si>
  <si>
    <t>Proyecto 4.2.2. Aire</t>
  </si>
  <si>
    <t xml:space="preserve">4.2.2.1.(a) Monitorear y reportar la calidad del aire en el departamento del Atlántico de acuerdo a la norma vigente. </t>
  </si>
  <si>
    <t>Número de estaciones de monitoreo de calidad del aire midiendo y produciendo información  en los puntos de monitoreo definidos por la C.R.A</t>
  </si>
  <si>
    <t xml:space="preserve">A 31 de diciembre de la vigencia 2025, la Corporación cuenta con dos (2) Estaciones de Monitoreo de Calidad de Aire en funcionamiento en los Municipios de Soledad (EDUMAS) y Malambo (SECRETARIA DE TRANSITO MALAMBO), operando bajo los estándares técnicos establecidos por la normatividad ambiental colombiana, con especial énfasis en el monitoreo de material particulado PM10, considerado uno de los contaminantes de mayor relevancia para la salud pública en la región.
Se suscribió el contrato 340 del 2026 SUMINISTRO, INSTALACIÓN, IMPLEMENTACIÓN Y OPERACIÓN DEL SISTEMA DE VIGILANCIA DE CALIDAD DEL AIRE”.
Mediante acuerdo 17 del 2026 “POR MEDIO DEL CUAL SE AUTORIZA AL DIRECTOR GENERAL DE LA CORPORACIÓN AUTÓNOMA REGIONAL DEL ATLÁNTICO A COMPROMETER VIGENCIAS FUTURAS ORDINARIAS PARA EL SUMINISTRO, INSTALACIÓN, IMPLEMENTACIÓN Y OPERACIÓN DEL SISTEMA DE VIGILANCIA DE LA CALIDAD DEL AIRE”, se comprometieron vigencias futuras para el cumplimiento de la meta. </t>
  </si>
  <si>
    <t>Redes y estaciones de Monitoreo del Aire en operación</t>
  </si>
  <si>
    <t>Porcentaje de estaciones que cumplen con el objetivo intermedio III de las guías de calidad del aire de la Organización Mundial de la Salud (OMS) en material particulado inferior a 10 micras (PM10)</t>
  </si>
  <si>
    <t xml:space="preserve">4.2.2.1.(b) Monitorear y reportar la calidad del aire en el departamento del Atlántico de acuerdo a la norma vigente. </t>
  </si>
  <si>
    <t>Número de operativos para la identificación de nuevas fuentes de emisiones atmosféricas por fuentes fijas en el Departamento del Atlántico.</t>
  </si>
  <si>
    <t>En ejercicio de las labores de seguimiento y control para la vigencia 2025, se suscribió Convenio 006 del 2025 “AUNAR ESFUERZOS ADMINISTRATIVOS, TECNICOS Y FINANCIEROS PARA EL DESARROLLO CONJUNTO DE ESTRATEGIAS DE IDENTIFICACIÓN, CONSOLIDACIÓN Y FORTALECIMIENTO DE LOS NEGOCIOS VERDES, ASI COMO ACCIONES ENCAMINADAS PARA EL CONTROL, MONITOREO Y VIGILANCIA DE LOS RECURSOS NATURALES.”
Las actividades desarrolladas fueron:
•	Se realizaron quince (15) visitas de inspección y/u operativos a industrias y empresas para verificar que estén cumpliendo con las normativas de emisión. Esto implica revisar los sistemas de control de emisiones (como filtros, depuradores y otros dispositivos) y comprobar si las emisiones no exceden los límites permitidos por la ley. La información completa se encuentra registrada en el informe de gestión en la respectiva acción estrategica.</t>
  </si>
  <si>
    <t>Proyecto 4.2.3. Olores Ofensivos</t>
  </si>
  <si>
    <t>4.2.3.1. Realizar operativos de evaluación, control y seguimiento ambiental a las actividades generadoras de inmisiones de olores ofensivos en el Departamento del Atlántico</t>
  </si>
  <si>
    <t xml:space="preserve">Porcentaje de atención a las solicitudes recibidas para el control y seguimiento de los olores ofensivos </t>
  </si>
  <si>
    <t>En la vigencia 2025, la Corporación en ejercicio de las actividades de seguimiento y control a las actividades generadoras de emisiones de olores ofensivos, recibió sesenta y dos (62) denuncias de afectación del aire con olores ofensivos, de las cuales cincuenta y seis (56) fueron atendidas</t>
  </si>
  <si>
    <t>Proyecto 4.2.4. Ruido</t>
  </si>
  <si>
    <t>4.2.4.1. Actualizar los mapas de ruido en los municipios del Departamento del Atlántico</t>
  </si>
  <si>
    <t>Número de mapas de ruido actualizados</t>
  </si>
  <si>
    <t xml:space="preserve">En la vigencia 2.025, para el cumplimiento de esta meta, se suscribió el Convenio 006 del 2025 “AUNAR ESFUERZOS ADMINISTRATIVOS, TECNICOS Y FINANCIEROS PARA EL DESARROLLO CONJUNTO DE ESTRATEGIAS DE IDENTIFICACIÓN, CONSOLIDACIÓN Y FORTALECIMIENTO DE LOS NEGOCIOS VERDES, ASI COMO ACCIONES ENCAMINADAS PARA EL CONTROL, MONITOREO Y VIGILANCIA DE LOS RECURSOS NATURALES”, con el cual se ejecutó la actualización del mapa de ruido en el municipio de Soledad, con base a las mediciones de nivel de presión sonora en los puntos seleccionados. </t>
  </si>
  <si>
    <t>4.2.4.2. Formular y desarrollar estrategias de conocimiento y de descontaminación por ruido en los municipios del Departamento del Atlántico</t>
  </si>
  <si>
    <t xml:space="preserve">Número de estrategias de conocimiento y de descontaminación por ruido formuladas y desarrolladas </t>
  </si>
  <si>
    <t>En la vigencia 2025 se dio cumplimiento a la meta fijada, con acciones desarrolladas en el marco del convenio No.006 del 2025 cuyo objeto es: “AUNAR ESFUERZOS ADMINISTRATIVOS, TECNICOS Y FINANCIEROS PARA EL DESARROLLO CONJUNTO DE ESTRATEGIAS DE IDENTIFICACIÓN, CONSOLIDACIÓN Y FORTALECIMIENTO DE LOS NEGOCIOS VERDES, ASI COMO ACCIONES ENCAMINADAS PARA EL CONTROL, MONITOREO Y VIGILANCIA DE LOS RECURSOS NATURALES”.
En el marco de la elaboración del mapa de ruido de Soledad en la estructuración del modelo acústico se plantea un análisis y propuesta de un Plan de Descontaminación enfocado en los resultados obtenidos en dicho modelo, el cual deberá implementarse para la vigencia 2026.</t>
  </si>
  <si>
    <t>4.2.4.3. Realizar operativos de evaluación, control y seguimiento ambiental a las emisiones de ruido en el departamento del Atlántico</t>
  </si>
  <si>
    <t>Porcentaje de atención a las solicitudes recibidas para el control y seguimiento de las emisiones de ruido en el departamento del Atlántico</t>
  </si>
  <si>
    <t>En atención de las quejas ambientales radicadas en la Corporación en la vigencia 2025, se recibieron un total de ochenta y nueve (89) solicitudes para control y seguimiento de las emisiones de ruido, las cuales se han atendido en su totalidad.</t>
  </si>
  <si>
    <t>Proyecto 4.2.5. Residuos Sólidos</t>
  </si>
  <si>
    <t>4.2.5.1. Realizar seguimiento a las metas de aprovechamiento del Plan de Gestión Integral de Residuos Sólidos (PGIRS) municipales de la jurisdicción de la CRA</t>
  </si>
  <si>
    <t>Numero de municipios con seguimiento a las metas de aprovechamiento de los PGIRS</t>
  </si>
  <si>
    <t>En seguimiento a las metas de aprovechamiento del Plan de Gestión Integral de Residuos Sólidos (PGIRS) municipales de la jurisdicción de la C.R.A, para la vigencia 2025, se realizaron veintidós (22) visitas de seguimientos. La información completa se encuentra registrada en el informe de gestión en la respectiva acción estrategica.</t>
  </si>
  <si>
    <t>Porcentaje de Planes de Gestión Integral de Residuos Sólidos (PGIRS) con seguimiento</t>
  </si>
  <si>
    <t>Porcentaje de residuos sólidos efectivamente aprovechados</t>
  </si>
  <si>
    <t>4.2.5.2. (a) Actualizar e implementar el Plan de Gestión Integral de Residuos - Residuos Peligrosos (PGIR-RESPEL) conforme a la política ambiental para la gestión integral de residuos peligrosos 2022-2030.</t>
  </si>
  <si>
    <t>Número de documentos de PGIR- RESPEL actualizados</t>
  </si>
  <si>
    <t>Residuos peligrosos aprovechados y tratados</t>
  </si>
  <si>
    <t>4.2.5.2. (b) Actualizar e implementar el Plan de Gestión Integral de Residuos - Residuos Peligrosos (PGIR-RESPEL) conforme a la política ambiental para la gestión integral de residuos peligrosos 2022-2030.</t>
  </si>
  <si>
    <t>Porcentaje de implementación del Plan de Gestión Integral de Residuos - Residuos Peligrosos (PGIR-RESPEL) PGIR-RESPEL</t>
  </si>
  <si>
    <t>A 31 de diciembre del 2.025, la Corporación implementó el 30% de las acciones planificadas a corto plazo para el 2025 del Plan de Gestión Integral de Residuos - Residuos Peligrosos (PGIR-RESPEL), las cuales se describen a continuación:
El Plan de Gestión de Residuos Peligrosos de la jurisdicción de la C.R.A consta de 3 plazos de ejecución: corto (2025-2026), mediano (2027-2028), y largo (2029-2030). A su vez, este plan posee diez (10) líneas de acción:
1.	Fomento de la Economía Circular para el Aprovechamiento de Residuos Peligrosos.
2.	Fortalecimiento de la Infraestructura para la Gestión de Residuos Peligrosos.
3.	Capacitación y Sensibilización en Gestión de Residuos Peligrosos.
4.	Fortalecimiento de la Planificación y Regulación en la Gestión de Residuos Peligrosos.
5.	Optimización de Infraestructuras de Disposición Final para Residuos Peligrosos.
6.	Modernización Sostenible del Transporte de Residuos Peligrosos.
7.	Empoderamiento Comunitario para la Gestión Sostenible de Residuos Peligrosos.
8.	Impulso a la Simbiosis Industrial para la Circularidad de los Residuos Peligrosos.
9.	Fortalecimiento del Cumplimiento de Convenios Internacionales en la Gestión de Residuos Peligrosos.
10.	Fortalecimiento de la Coordinación Interinstitucional y de Capacidades Institucionales en la Gestión de Residuos Peligrosos.</t>
  </si>
  <si>
    <t>PROGRAMA 4.3. VELA: VIGILAR Y EVALUAR LA LEGALIDAD AMBIENTAL</t>
  </si>
  <si>
    <t>Proyecto 4.3.1.Evaluación, Seguimiento y Control</t>
  </si>
  <si>
    <t>4.3.1.1. (a) Realizar la evaluación de los instrumentos de control ambiental</t>
  </si>
  <si>
    <t>Porcentaje de cumplimiento de los términos para la atención de los trámites ambientales para Licencia Ambiental</t>
  </si>
  <si>
    <t>En la vigencia 2025 y en ejercicio de las labores de evaluación en trámite de Licenciamiento Ambiental, se recibieron cuatro (4) solicitudes atendidas en los tiempos normativos de Ley.</t>
  </si>
  <si>
    <t>Tiempo promedio para la resolución de los trámites ambientales otorgadas por la corporación</t>
  </si>
  <si>
    <t>4.3.1.1. (b) Realizar la evaluación de los instrumentos de control ambiental</t>
  </si>
  <si>
    <t>Porcentaje de cumplimiento de los términos para la atención de los trámites ambientales para Concesiones de Agua</t>
  </si>
  <si>
    <t>4.3.1.1. (c) Realizar la evaluación de los instrumentos de control ambiental</t>
  </si>
  <si>
    <t>Porcentaje de cumplimiento de los términos para la atención de los trámites ambientales para  vertimiento</t>
  </si>
  <si>
    <t>4.3.1.1. (d) Realizar la evaluación de los instrumentos de control ambiental</t>
  </si>
  <si>
    <t>Porcentaje de cumplimiento de los términos para la atención de los trámites ambientales para  Aprovechamiento Forestal</t>
  </si>
  <si>
    <t>4.3.1.1. (e) Realizar la evaluación de los instrumentos de control ambiental</t>
  </si>
  <si>
    <t>Porcentaje de cumplimiento de los términos para la atención de los trámites ambientales para  Emisiones Atmosféricas</t>
  </si>
  <si>
    <t xml:space="preserve">4.3.1.2. (a) Realizar el seguimiento de los instrumentos de control ambiental </t>
  </si>
  <si>
    <t xml:space="preserve">Porcentaje de licencias ambientales con seguimiento </t>
  </si>
  <si>
    <t>Autorizaciones ambientales con seguimiento</t>
  </si>
  <si>
    <t xml:space="preserve">4.3.1.2. (b) Realizar el seguimiento de los instrumentos de control ambiental </t>
  </si>
  <si>
    <t>Porcentaje de concesiones de agua con seguimiento</t>
  </si>
  <si>
    <t>En el primer semestre 2.025 se reportaron doscientos setenta y dos (272) concesiones de aguas Superficiales, Subterráneas y de reusó. Al finalizar la vigencia 2.025 este número disminuye a doscientos sesenta y siete (267) por el archivo y/o pérdida de la vigencia de los permisos para los usuarios: BIOAGRARIOS FINCA VILLA NURYS, ASOCIACION CAMPESINA POLONUEVO VERDE, ASOCIACION ACUAPONICA DE SUAN, PLATAFORMA PETROLERA DEL RIO MAGDALENA- PETROMAG S.A.S. y COMPAÑIA DE ALIMENTOS DEL CARIBE S.A.S.- COALCAR S.A.S.</t>
  </si>
  <si>
    <t xml:space="preserve">4.3.1.2. (c) Realizar el seguimiento de los instrumentos de control ambiental </t>
  </si>
  <si>
    <t xml:space="preserve">Porcentaje de permisos de vertimiento con seguimiento </t>
  </si>
  <si>
    <t>En la vigencia 2.025 se programó el seguimiento a ciento setenta y uno (171) permisos de vertimiento a cuerpo superficial de agua y suelo, realizándose el seguimiento efectivo a ciento sesenta y siete (167) de éstas para un avance de cumplimiento de la meta del 98%.</t>
  </si>
  <si>
    <t xml:space="preserve">4.3.1.2. (d) Realizar el seguimiento de los instrumentos de control ambiental </t>
  </si>
  <si>
    <t xml:space="preserve">Porcentaje de permisos de aprovechamiento forestal con seguimiento </t>
  </si>
  <si>
    <t xml:space="preserve">En la vigencia 2025 se programó el seguimiento a doscientos treinta y un (231) permisos de Aprovechamiento Forestal Único, realizándose el seguimiento efectivo a ciento noventa y tres (193), para un cumplimiento de 84% de la meta programada. </t>
  </si>
  <si>
    <t xml:space="preserve">4.3.1.2. (e) Realizar el seguimiento de los instrumentos de control ambiental </t>
  </si>
  <si>
    <t xml:space="preserve">Porcentaje de permisos de emisiones atmosféricas con seguimiento </t>
  </si>
  <si>
    <t xml:space="preserve">En la vigencia 2.025 se programó el seguimiento a ochenta y ocho (88) permisos de Emisiones Atmosféricas, realizándose el seguimiento efectivo de ochenta y dos (82) de éstas, para un cumplimiento a la meta del 93%. </t>
  </si>
  <si>
    <t>4.3.1.3. Atender las quejas ambientales radicadas en la Corporación</t>
  </si>
  <si>
    <t>Porcentaje de quejas ambientales radicadas en la Corporación atendidas</t>
  </si>
  <si>
    <t>En el ejercicio de conservar, recupera y proteger el medio ambiente en jurisdicción del Departamento del Atlántico a lo largo de la vigencia en la Corporación se ha recibido un total de setecientas catorce (714) quejas, de la cuales se ha relacionado la atención en los ítems: 4.2.3. Olores Ofensivos, 4.2.4. Ruido y 4.3.1.5. Controlar el tráfico ilegal de especies de fauna y flora en el Departamento del Atlántico, con la atención oportuna de seiscientas seis (606) quejas en materia ambiental.
Logrando una atención del 85% del total de las quejas recibidas en la vigencia 2025.</t>
  </si>
  <si>
    <t>4.3.1.4. Atender e impulsar la resolución de los procesos sancionatorios</t>
  </si>
  <si>
    <t>Porcentaje de los procesos sancionatorios atendidos e impulsados</t>
  </si>
  <si>
    <t>La Corporación Autónoma Regional del Atlántico (CRA) como autoridad ambiental del Departamento del Atlántico se encuentra permanentemente en mejora continua de sus procesos para efectos de calidad y eficiencia en el servicio suministrado, y que por ende, la Subdirección de Gestión Ambiental de la CRA en el marco de sus competencias, se encuentra fortaleciendo sus estrategias para contribuir eficientemente al objetivo institucional, optimizando los tiempos de atención y respuesta en los trámites y procesos sancionatorio ambientales a cargo. La información completa se encuentra registrada en el informe de gestión en la respectiva acción estrategica.</t>
  </si>
  <si>
    <t>Procesos Sancionatorios Ambientales Resueltos</t>
  </si>
  <si>
    <t>4.3.1.5. Controlar el tráfico ilegal de especies de fauna y flora en el Departamento del Atlántico</t>
  </si>
  <si>
    <t>Porcentaje de operativos planificados para el control del tráfico ilegal de especies de fauna y flora en el Atlántico ejecutados</t>
  </si>
  <si>
    <t>Dentro de las actividades de control para del tráfico ilegal de especies de fauna y flora en el Atlántico en la vigencia 2.025, se realizaron veintiocho (28) operativos de control y un (1) operativo nacional para el control de flora maderable y no maderable. En los cuales se decomisaron doce (12) individuos de las especies, quienes fueron liberadas en su totalidad:
	(4) Guacamayas.
	(2) Loros.
	(4) Cotarras cari sucia.
	(2) Flamencos.
	(50) bultos de carbón.
	(12 mts³) de madera.</t>
  </si>
  <si>
    <t>4.3.1.6. Controlar la explotación ilegal de recursos naturales en el Departamento del Atlántico</t>
  </si>
  <si>
    <t>Porcentaje de operativos planificados para el control de la explotación ilegal de recursos naturales en el Atlántico ejecutados</t>
  </si>
  <si>
    <t xml:space="preserve">n la vigencia 2.025, la C.R.A. a través del Grupo de Reacción Inmediata Ambiental (CRIA) realizaron diez (10) operativos para controlar y mitigar la explotación ilegal de recursos específicamente en el sector minero. El objetivo principal de estas acciones es preservar el medio ambiente, garantizar el cumplimiento de las leyes y regulaciones, y proteger las comunidades afectadas por la minería ilegal.
1.	Identificación de Áreas Críticas: se llevó a cabo una evaluación inicial para identificar las zonas con mayor incidencia de minería ilegal.
2.	Operativos de Inspección en acompañamiento de la fuerza pública, autoridades ambientales y el sector judicial para inspeccionar y desmantelar actividades mineras ilegales. Se implemento el uso de drones para vigilar las áreas afectadas. </t>
  </si>
  <si>
    <t>LINEA ESTRATEGICA 5. CAMBIO CLIMÁTICO Y GESTIÓN DEL RIESGO</t>
  </si>
  <si>
    <t>PROGRAMA 5.1. CARBONONEUTRALIDAD: INNOVACIÓN INSTITUCIONAL PARA LA BUENA GOBERNANZA DEL CAMBIO CLIMÁTICO EN EL TERRITORIO</t>
  </si>
  <si>
    <t>Proyecto 5.1.1. AtlántiCO2: Camino a la Carbononeutralidad</t>
  </si>
  <si>
    <t>5.1.1.1. (a) Promover la descarbonización en sectores priorizados por la Corporación en el Departamento del Atlántico</t>
  </si>
  <si>
    <t>Número de Empresas con medición de huella de carbono, realizadas y su Plan de Gestión de GEI en la jurisdicción de la C.R.A.</t>
  </si>
  <si>
    <t>A corte 31 de diciembre de 2025, la meta se encuentra cumplida, esto se logró con la ejecución del convenio No.004 del 2025 con la FUNDACIÓN INSTITUTO BARTOLOMÉ DE LAS CASAS-INUBAC, cuyo objeto es: “AUNAR ESFUERZOS TÉCNICOS, ADMINISTRATIVOS Y FINANCIEROS PARA DESARROLLAR E IMPLEMENTAR ESTRATEGIAS Y ACCIONES QUE PROMUEVAN EL FORTALECIMIENTO DE UNA CULTURA AMBIENTAL HACIA LA DESCARBONIZACIÓN Y LA BIOECONOMÍA COMO PILARES DEL DESARROLLO SOSTENIBLE EN EL DEPARTAMENTO DEL ATLÁNTICO.” Para esto se desarrollaron las siguientes actividades:
Tras el proceso de revisión, se logró la selección de 10 empresas beneficiarias que 
representan sectores estratégicos como construcción, manufactura, agroalimentario, 
educación y servicios, asegurando la diversidad sectorial prevista. 
Se entregó informe en el que se consolidó la medición de la Huella de Carbono Corporativa de las organizaciones participantes en el proyecto AtlántiCO2.  Se aplicó una metodología alineada con la norma ISO 14064 y el GHG Protocol.</t>
  </si>
  <si>
    <t>3206 Gestión del cambio climático para un desarrollo bajo en carbono y resiliente al clima</t>
  </si>
  <si>
    <t>Avance en la ejecución de acciones de gestión ambiental urbana</t>
  </si>
  <si>
    <t>Departamentos con planes integrales (adaptación y mitigación) frente al cambio climático</t>
  </si>
  <si>
    <t>5.1.1.1. (b) Promover la descarbonización en sectores priorizados por la Corporación en el Departamento del Atlántico</t>
  </si>
  <si>
    <t>Número de Empresas con seguimiento de huella de carbono, realizadas y su Plan de Gestión de GEI en la jurisdicción de la C.R.A.</t>
  </si>
  <si>
    <t>A corte 31 de diciembre de 2025, la meta se encuentra cumplida, esto se logró con la ejecución del convenio No.004 del 2025 con la FUNDACIÓN INSTITUTO BARTOLOMÉ DE LAS CASAS-INUBAC, cuyo objeto es: “AUNAR ESFUERZOS TÉCNICOS, ADMINISTRATIVOS Y FINANCIEROS PARA DESARROLLAR E IMPLEMENTAR ESTRATEGIAS Y ACCIONES QUE PROMUEVAN EL FORTALECIMIENTO DE UNA CULTURA AMBIENTAL HACIA LA DESCARBONIZACIÓN Y LA BIOECONOMÍA COMO PILARES DEL DESARROLLO SOSTENIBLE EN EL DEPARTAMENTO DEL ATLÁNTICO.” Para esto se desarrollaron las siguientes actividades:
Tras el proceso de revisión, se logró la selección de 10 empresas beneficiarias que 
representan sectores estratégicos como construcción, manufactura, agroalimentario, 
educación y servicios, asegurando la diversidad sectorial prevista. 
Se entregó informe en el que se consolidó la medición de la Huella de Carbono Corporativa de las organizaciones participantes en el proyecto AtlántiCO2.  Se aplicó una metodología alineada con la norma ISO 14064 y el GHG Protocol</t>
  </si>
  <si>
    <t xml:space="preserve">5.1.1.2. Realizar el inventario corporativo de emisiones de GEI (Medición de Huella de Carbono) en las sedes de la corporación. </t>
  </si>
  <si>
    <t>Número de documentos de Medición de huella de Carbono realizadas en las sedes de la C.R.A.</t>
  </si>
  <si>
    <t>Esta meta se cumple con la ejecución del convenio No. 004 del 2025 entre la C.R.A, y la FUNDACIÓN INSTITUTO BARTOLOMÉ DE LAS CASAS-INUBAC, con objeto: “AUNAR ESFUERZOS TÉCNICOS, ADMINISTRATIVOS Y FINANCIEROS PARA DESARROLLAR E IMPLEMENTAR ESTRATEGIAS Y ACCIONES QUE PROMUEVAN EL FORTALECIMIENTO DE UNA CULTURA AMBIENTAL HACIA LA DESCARBONIZACIÓN Y LA BIOECONOMÍA COMO PILARES DEL DESARROLLO SOSTENIBLE EN EL DEPARTAMENTO DEL ATLÁNTICO.”.  Durante la ejecución del mismo se realizó la medición de Huella de Carbono en las instalaciones de la Corporación Autónoma Regional del Atlántico, para la vigencia 2024. Es de aclarar que esta medición se realiza año vencido.  El informe realizado por el contratista señala lo siguiente:
Las operaciones administrativas de la C.R.A. se desarrollan en la sede principal ubicada en la Calle 66 No. 54-43 y en la Sede 2 ubicada en la Carrera 58 No. 64-248, Barranquilla, Atlántico. Se resalta que en la sede 2 se encuentra ubicado el archivo de gestión de la Subdirección de Gestión Ambiental.
La entidad también cuenta con el predio denominado Los Gallitos ubicado en la carretera al corregimiento de Rotinet, Atlántico Km 9 - 10, y con el predio Finca Santa Ana la carrera 10 tres cruces – 753 del Municipio de Baranoa, Atlántico. Los predios no presentaron actividades operativas ni administrativas relevantes durante la vigencia 2024, sin embargo, son espacios que cuentan con vegetación nativa y con ejemplares de diferentes especies arbóreas con capacidad de considerase como sumideros de dióxido de carbono.</t>
  </si>
  <si>
    <t>Reducción de emisiones totales de gases efecto invernadero</t>
  </si>
  <si>
    <t>5.1.1.3. (a) Formular el Plan de Gestión de los GEI o Huella de Carbono institucional y ejecutar acciones establecidas en este, que permitan lograr la compensación de la Huella de Carbono institucional de la C.R.A.</t>
  </si>
  <si>
    <t>Número de Planes de Gestión de los GEI de la C.R.A formulados</t>
  </si>
  <si>
    <t>5.1.1.3. (b) Formular el Plan de Gestión de los GEI o Huella de Carbono institucional y ejecutar acciones establecidas en este, que permitan lograr la compensación de la Huella de Carbono institucional de la C.R.A.</t>
  </si>
  <si>
    <t xml:space="preserve">Número de acciones implementadas para el cumplimiento de las metas del Plan de Gestión de Emisiones de GEI </t>
  </si>
  <si>
    <t>5.1.1.4. Lograr la Certificación de Carboneutralidad de la C.R.A.</t>
  </si>
  <si>
    <t>Número de certificados de Carbononeutralidad otorgados a la C.R.A</t>
  </si>
  <si>
    <t>Proyecto 5.1.2. Gobernanza climática: Estrategias para el fomento de la buena gestión del cambio climático en el territorio</t>
  </si>
  <si>
    <t xml:space="preserve">5.1.2.1. Promover la descarbonización a través de espacios de discusión técnico-científica sobre Cambio Climático que reúnan a expertos, científicos y profesionales para intercambiar conocimientos ante los desafíos, avances y soluciones en materia de cambio climático. </t>
  </si>
  <si>
    <t xml:space="preserve">Número de espacios de discusión tecnico-cientifica (Foros, simposios, workshop) realizados sobre cambio climático </t>
  </si>
  <si>
    <t>Con el desarrollo del segundo Panel Departamental Sobre Cambio Climático y Descarbonización, realizado el día 13 de septiembre en las instalaciones del Coliseo de la Corporación Universitaria Reformada se dio cumplimiento a la meta programada para la vigencia 2025.
La actividad se realizó en el marco del convenio No.001 del 2.025 cuyo objeto es: “AUNAR ESFUERZOS PARA EL DESARROLLO CONJUNTO DE UN PROGRAMA DE FORMACIÓN CIUDADANA, A TRAVÉS DE ACTORES COMUNITARIOS A DOTAR CON CAPACIDAD TÉCNICA PARA ORIENTAR LOS PROCESOS PARTICIPATIVOS EN TERRITORIOS”.
El proceso de la consolidación del segundo Panel Departamental Ambiental, en esta edición, dedicado al Cambio Climático y la Descarbonización, constó de varias etapas cruciales para su pertinente, correcto y adecuado desarrollo. En ese sentido, para poder dirigir a buen puerto el segundo panel, se consto de una etapa de planificación que posibilitó pensar y dimensionar el espacio de esta segunda edición; así mismo, se desarrolló una etapa de despliegue logístico; y, en desarrollo simultaneo, una etapa de divulgación que fue expandiendo más el interés y la trascendencia del espacio para el departamento del Atlántico.La información completa se encuentra registrada en el informe de gestión en la respectiva acción estrategica.</t>
  </si>
  <si>
    <t>5.1.2.2. Promover la Cooperación internacional para la C.R.A. en asuntos de cambio climático mediante la firma de convenios o memorandos de entendimiento interinstitucionales con entidades del sector.</t>
  </si>
  <si>
    <t xml:space="preserve">Número de convenios o memorandos de entendimientos nacionales e internacionales gestionados en temas asociados al cambio climático </t>
  </si>
  <si>
    <t xml:space="preserve">Con la suscripción del Memorando de Entendimiento entre The University of Florida Board of Trustees y la Corporación Autónoma Regional del Atlántico, memorando suscrito el día 10 de abril de 2.025 por el término de tres (3) años se da cumplimiento a la meta programada para la vigencia 2025. 
Este memorando tiene la finalidad de colaboración técnica entre ambas entidades, a través de las siguientes actividades:
1. Investigaciones colaborativas en áreas de interés mutuo, como la gestión de humedales y manglares, la germinación y el almacenamiento de semillas de especies nativas y reproducidas, la reforestación, la propagación de especies de importancia y las evaluaciones de impacto socioeconómico, de conformidad con los requisitos del Artículo 8.8. 
2. Oportunidades para el desarrollo e intercambio de docentes y estudiantes, de conformidad con los procedimientos y políticas de aceptación de cada institución. 
3. Intercambio de experiencias en centros de investigación, de conformidad con los procedimientos y políticas de aceptación de cada institución.
4. Aportación conjunta de conocimientos especializados en materia de asistencia técnica y talleres.  La información completa se encuentra registrada en el informe de gestión en la respectiva acción estrategica.
</t>
  </si>
  <si>
    <t>PROGRAMA 5.2. BIOECONOMÍA: CRECIMIENTO VERDE Y SOSTENIBLE A TRAVÉS DE LA INNOVACIÓN</t>
  </si>
  <si>
    <t>Proyecto 5.2.1. Bioeconomía: Desarrollo social, inteligente y sostenible de los territorios</t>
  </si>
  <si>
    <t xml:space="preserve">5.2.1.1. (a) Habilitar la oferta de proyectos para la obtención de Certificados de Carbono y Biodiversidad en la jurisdicción de la C.R.A. </t>
  </si>
  <si>
    <t>Número de proyectos conducente a la habilitación de la oferta de certificados de Carbono ejecutados</t>
  </si>
  <si>
    <t xml:space="preserve">A corte 31 de diciembre de 2025, la meta se encuentra cumplida con la ejecución del convenio No. 004 del 2.025 entre la C.R.A, y la FUNDACIÓN INSTITUTO BARTOLOMÉ DE LAS CASAS-INUBAC, con objeto: “AUNAR ESFUERZOS TÉCNICOS, ADMINISTRATIVOS Y FINANCIEROS PARA DESARROLLAR E IMPLEMENTAR ESTRATEGIAS Y ACCIONES QUE PROMUEVAN EL FORTALECIMIENTO DE UNA CULTURA AMBIENTAL HACIA LA DESCARBONIZACIÓN Y LA BIOECONOMÍA COMO PILARES DEL DESARROLLO SOSTENIBLE EN EL DEPARTAMENTO DEL ATLÁNTICO.”.  Durante la vigencia 2025 se desarrollaron las siguientes actividades para dar cumplimiento a la meta:  
Esta acción estratégica se orienta a generar condiciones habilitantes para estructurar proyectos elegibles de créditos de carbono y biodiversidad en predios ubicados en áreas estratégicas del departamento, principalmente dentro de los DRMI priorizados por la C.R.A. </t>
  </si>
  <si>
    <t xml:space="preserve">5.2.1.1. (b) Habilitar la oferta de proyectos para la obtención de Certificados de Carbono y Biodiversidad en la jurisdicción de la C.R.A. </t>
  </si>
  <si>
    <t>Número de diagnósticos para el fortalecimiento de la oferta de biodiversidad bajo el mecanismo de Bancos de Habitat elaborados</t>
  </si>
  <si>
    <t>A corte 31 de diciembre de 2025, la meta se encuentra cumplida con la ejecución del convenio No. 004 del 2.025 entre la C.R.A, y la FUNDACIÓN INSTITUTO BARTOLOMÉ DE LAS CASAS-INUBAC, con objeto: “AUNAR ESFUERZOS TÉCNICOS, ADMINISTRATIVOS Y FINANCIEROS PARA DESARROLLAR E IMPLEMENTAR ESTRATEGIAS Y ACCIONES QUE PROMUEVAN EL FORTALECIMIENTO DE UNA CULTURA AMBIENTAL HACIA LA DESCARBONIZACIÓN Y LA BIOECONOMÍA COMO PILARES DEL DESARROLLO SOSTENIBLE EN EL DEPARTAMENTO DEL ATLÁNTICO.”.  Durante la vigencia 2025 se desarrollaron las siguientes actividades para dar cumplimiento a la meta:  
Esta acción estratégica se orienta a generar condiciones habilitantes para estructurar proyectos elegibles de créditos de carbono y biodiversidad en predios ubicados en áreas estratégicas del departamento, principalmente dentro de los DRMI priorizados por la C.R.A. 
Incluyó procesos de convocatoria, análisis técnico y jurídico de predios, talleres de socialización, establecimiento de acuerdos de conservación, evaluación de factibilidad y diseño de una hoja de ruta para la validación de proyectos piloto. La información completa se encuentra registrada en el informe de gestión en la respectiva acción estrategica.</t>
  </si>
  <si>
    <t xml:space="preserve">5.2.1.1. (c) Habilitar la oferta de proyectos para la obtención de Certificados de Carbono y Biodiversidad en la jurisdicción de la C.R.A. </t>
  </si>
  <si>
    <t>Número de proyectos conducente a la habilitación de la oferta de certificados de Biodiversidad ejecutados</t>
  </si>
  <si>
    <t>5.2.1.2. (a) Promover el desarrollo sostenible en los diferentes sectores económicos y productivos del Departamento del Atlántico,  incorporando medidas de adaptación al cambio climático.</t>
  </si>
  <si>
    <t>Número de Centros de innovación de tecnología con enfoque en la adaptación y mitigación del cambio climático, promoviendo soluciones basadas en la naturaleza implementado.</t>
  </si>
  <si>
    <t>A corte 31 de diciembre de 2025, la meta se encuentra cumplida a través de la constitución y organización de una Sociedad de Economía Mixta SEM, cuyo fin es la constitución del Primer Centro de Desarrollo e Innovación de Tecnología con Enfoque en la Adaptación y Mitigación del Cambio Climático, promoviendo soluciones basadas en la naturaleza.
El propósito del Centro es:
•	Generación de conocimiento científico.
•	Desarrollo tecnológico y transferencia de tecnología.
•	Innovación y productividad: Empresas Altamente Innovadoras (EIAs), Unidades empresariales de I+D+i, Incubadoras de empresas de base tecnológica, Centros de innovación y de productividad, Parques Científicos, Tecnológicos o de Innovación.
•	Mentalidad y Cultura de la CTeI.</t>
  </si>
  <si>
    <t>5.2.1.2. (b) Promover el desarrollo sostenible en los diferentes sectores económicos y productivos del Departamento del Atlántico,  incorporando medidas de adaptación al cambio climático.</t>
  </si>
  <si>
    <t>Número de proyectos promovidos con acompañamiento técnico en la implementación de estrategias de adaptación al cambio climático en procesos de producción agrícola y/o forestal.</t>
  </si>
  <si>
    <t>Con la implementación de dos (2) proyectos promovidos con acompañamiento técnico en la implementación de estrategias de adaptación al cambio climático la meta se encuentra cumplida e incluso superada a 31 de diciembre del 2025.
En el marco del Convenio 009 del 2025 “AUNAR ESFUERZOS PARA PROMOVER ACCIONES DE INTERVENCIÓN ENCAMINADAS A FOMENTAR LA CONSERVACIÓN DE ECOSISTEMAS, LA ADAPTACIÓN DE CAMBIO CLIMÁTICO Y LA RECONVENCIÓN TECNOLÓGICA GENERANDO IMPACTOS POSITIVOS AL MEDIO AMBIENTE EN EL DEPARTAMENTO DEL ATLÁNTICO” se hizo acompañamiento técnico en la implementación de estrategias de adaptación al cambio climático en procesos de producción agrícola y/o forestal de productores en el Departamento del Atlántico. La información completa se encuentra registrada en el informe de gestión en la respectiva acción estrategica.</t>
  </si>
  <si>
    <t>5.2.1.2. (c) Promover el desarrollo sostenible en los diferentes sectores económicos y productivos del Departamento del Atlántico,  incorporando medidas de adaptación al cambio climático.</t>
  </si>
  <si>
    <t>Número de unidades productoras ganaderas impulsadas con reconversión tecnológica y actividades con impacto positivo al medio ambiente.</t>
  </si>
  <si>
    <t>A través del Convenio No.009 del 2.025 cuyo objeto es: “AUNAR ESFUERZOS PARA PROMOVER ACCIONES DE INTERVENCIÓN ENCAMINADAS A FOMENTAR LA CONSERVACIÓN DE ECOSISTEMAS, LA ADAPTACIÓN DE CAMBIO CLIMÁTICO Y LA RECONVENCIÓN TECNOLÓGICA GENERANDO IMPACTOS POSITIVOS AL MEDIO AMBIENTE EN EL DEPARTAMENTO DEL ATLÁNTICO.” Se dio cumplimiento a la meta fijada para la vigencia 2025.
Para el caso específico de la meta, en el marco del convenio señalado se enfocaron acciones para promover la reconversión tecnológica y actividades con impacto positivo al medio ambiente en cien (100) unidades de los sistemas de producción ganadera tradicionales. La información completa se encuentra registrada en el informe de gestión en la respectiva acción estrategica.</t>
  </si>
  <si>
    <t>5.2.1.2. (d) Promover el desarrollo sostenible en los diferentes sectores económicos y productivos del Departamento del Atlántico,  incorporando medidas de adaptación al cambio climático.</t>
  </si>
  <si>
    <t>Número de proyectos productivos implementados para la seguridad alimentaria y sostenibilidad de las comunidades</t>
  </si>
  <si>
    <t xml:space="preserve">Con la implementación de un (1) proyecto productivo para la seguridad alimentaria y sostenibilidad de la comunidad de agricultores y pescadores del municipio de Juan de Acosta, en las veredas Todo Fierro y Susunilla, se cumplió con la meta establecida para la vigencia 2025.
Las actividades programadas en el cronograma de actividades y plan de trabajo se vienen desarrollando en el marco del convenio No. 005 del 2.025 cuyo objeto es: “DESARROLLO CONJUNTO DE UN PROGRAMA DE CAPACITACIÓN DIRIGIDO A ORGANIZACIONES COMUNITARIAS PARA APOYAR LA GESTIÓN AMBIENTAL EN LA CONSERVACIÓN DE ECOSISTEMAS, GESTIÓN DEL RIESGO, ECOCIRCULARIDAD, COMUNIDADES ENERGÉTICAS Y SEGURIDAD ALIMENTARIA EN LOS MUNICIPIOS DE JUAN DE ACOSTA, PALMAR DE VARELA, PUERTO COLOMBIA Y OTRAS LOCALIDADES DEL DEPARTAMENTO DEL ATLÁNTICO”. 
El programa se implementó con un proceso de formación teórico práctico, beneficiando a un grupo de treinta (30) familias representadas por un integrante de cada una de éstas. </t>
  </si>
  <si>
    <t>5.2.1.3. Implementar un proyecto de Soluciones Basadas en la Naturaleza - SbN, para el fortalecimiento o recuperación del agua, suelo o aire en el departamento del Atlántico</t>
  </si>
  <si>
    <t xml:space="preserve">Número de proyectos implementado de Soluciones Basadas en la Naturaleza - SbN </t>
  </si>
  <si>
    <t>PROGRAMA 5.3. FNCER PARA LA CONSTRUCCIÓN DE COMUNIDADES ENERGÉTICAS SOSTENIBLES</t>
  </si>
  <si>
    <t>Proyecto 5.3.1. Atlántico: para una democracia energética justa y eficiente</t>
  </si>
  <si>
    <t>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t>
  </si>
  <si>
    <t>Número de proyectos de energía cinética implementados</t>
  </si>
  <si>
    <t>Mediante el convenio No. 0016 de 2025, cuyo objeto contractual es:  AUNAR ESFUERZOS PARA LA IMPLEMENTACIÓN DE PROYECTOS DE ENERGÍAS RENOVABLES Y RESTAURACIÓN ECOLÓGICA COMO ESTRATEGIAS DE ADAPTACIÓN AL CAMBIO CLIMÁTICO Y AL FORTALECIMIENTO DE ECOSISTEMAS se vienen desarrollando las actividades tendientes al cumplimiento de la meta. Al 31 de diciembre de la vigencia 2025 se tiene un avance de la misma de un 85%.
Lo anterior, teniendo en cuenta que el convenio mencionado tuvo una prórroga hasta el 28 de febrero de 2026, considerando que el prototipo diseñado para implementar el proyecto se encontraba en proceso de fabricación al cierre de la vigencia.</t>
  </si>
  <si>
    <t>5.3.1.2. Implementar proyectos a partir de modelos híbridos de FNCER (Biomasa, Eólica, Solar, etc) para las comunidades energéticas que promuevan la descarbonización en el departamento del Atlantico.</t>
  </si>
  <si>
    <t>Número de proyectos de modelos hibridos implementados</t>
  </si>
  <si>
    <t xml:space="preserve">5.3.1.3. Promover la implementación de Comunidades Energéticas en el departamento del Atlántico </t>
  </si>
  <si>
    <t>Número de proyectos  que promuevan la implementación de comunidades energéticas</t>
  </si>
  <si>
    <t>Con la implementación de dos (2) Proyectos que promueven la implementación de comunidades energéticas en el departamento del Atlántico se cumplió la meta programada para la vigencia 2025. 
La Corporación en acompañamiento de la Universidad de la Costa- CUC, ejecutó la fase Teórica para la elaboración y desarrollo conceptualmente del proyecto denominado: “Valorización de residuos avícolas y porcícolas mediante digestión anaerobia potencial energético, ordenamiento ambiental y propuesta normativa para el Departamento del Atlántico-Colombia.”, como producto se espera la creación de tres (3) clústeres pecuarios que funcionen bajo los criterios de comunidad energética.</t>
  </si>
  <si>
    <t>PROGRAMA 5.4. ECOCIRCULARIDAD: UNIENDO SOLUCIONES BASADAS EN LA NATURALEZA, LA CIENCIA CIUDADANA Y ECONOMÍA CIRCULAR</t>
  </si>
  <si>
    <t>Proyecto 5.4.1. Atlántico Apropia la Eco-Circularidad</t>
  </si>
  <si>
    <t>5.4.1.1. Fomentar la gestión para aprovechamiento o tratamiento de RCD en el departamento del Atlántico</t>
  </si>
  <si>
    <t>Número de Acciones de gestión para el aprovechamiento y tratamiento de RCD en el departamento del Atlántico</t>
  </si>
  <si>
    <t>Al cierre de la vigencia 2025 la C.R.A. implementó dos (2) acciones de gestión para el aprovechamiento y tratamiento de RCD en el departamento del Atlántico, dando cumplimiento e incluso superando la meta establecida para dicha vigencia. 
En el primer semestre del 2.025 la Corporación y CAMACOL Atlántico firmaron el GRAN PACTO POR EL DESARROLLO URBANISTICO SOSTENIBLE Y LA GOBERNANZA EL AGUA EN EL ATLÁNTICO.
De otra parte, a través del convenio No. 005 del 2.025 cuyo objeto es: “DESARROLLO CONJUNTO DE UN PROGRAMA DE CAPACITACIÓN DIRIGIDO A ORGANIZACIONES COMUNITARIAS PARA APOYAR LA GESTIÓN AMBIENTAL EN LA CONSERVACIÓN DE ECOSISTEMAS, GESTIÓN DEL RIESGO, ECOCIRCULARIDAD, COMUNIDADES ENERGÉTICAS Y SEGURIDAD ALIMENTARIA EN LOS MUNICIPIOS DE JUAN DE ACOSTA, PALMAR DE VARELA, PUERTO COLOMBIA Y OTRAS LOCALIDADES DEL DEPARTAMENTO DEL ATLÁNTICO” la Corporación realizó un programa de capacitación teórico práctico de “Gestión para el aprovechamiento y tratamiento de RCD”, el cual estuvo dirigido a una organización comunitaria municipio de Puerto Colombia con el objetivo de fortalecer la gestión integral de los Residuos de Construcción y Demolición (RCD) en el municipio.</t>
  </si>
  <si>
    <t xml:space="preserve">Asistencias técnicas en producción y consumo responsable para desarrollar el modelo de economía circular por parte de las corporaciones a empresas y unidades productivas de subsectores priorizados. </t>
  </si>
  <si>
    <t xml:space="preserve">5.4.1.2. Desarrollar la agenda departamental de economía circular </t>
  </si>
  <si>
    <t>Número de proyectos impulsados para el aprovechamiento y tratamiento de residuos como una estrategia de economía circular con enfoque en Innovación y Desarrollo en el marco de la agenda departamental</t>
  </si>
  <si>
    <t>Se da cumplimiento a la meta fijada para la vigencia 2025, de impulsar un (1) proyecto para el aprovechamiento y tratamiento de residuos, a través del convenio No. 005 del 2.025 cuyo objeto es: “DESARROLLO CONJUNTO DE UN PROGRAMA DE CAPACITACIÓN DIRIGIDO A ORGANIZACIONES COMUNITARIAS PARA APOYAR LA GESTIÓN AMBIENTAL EN LA CONSERVACIÓN DE ECOSISTEMAS, GESTIÓN DEL RIESGO, ECOCIRCULARIDAD, COMUNIDADES ENERGÉTICAS Y SEGURIDAD ALIMENTARIA EN LOS MUNICIPIOS DE JUAN DE ACOSTA, PALMAR DE VARELA, PUERTO COLOMBIA Y OTRAS LOCALIDADES DEL DEPARTAMENTO DEL ATLÁNTICO”.
Con el propósito de promover y fortalecer la participación para el desarrollo de la agenda departamental de economía circular implementando proyectos con enfoque en innovación y valor agregado e Impulsando la innovación circular sostenible en el departamento del Atlántico. La información completa se encuentra registrada en el informe de gestión en la respectiva acción estrategica.</t>
  </si>
  <si>
    <t>5.4.1.3. Implementar un proyecto para el desarrollo de nuevos materiales ecológicos, verdes y sostenibles</t>
  </si>
  <si>
    <t>Número de proyectos implementados para el desarrollo de nuevos materiales ecológicos, verdes y sostenibles</t>
  </si>
  <si>
    <t>Se dio cumplimiento a la meta fijada para la vigencia 2025, con la implementación de un proyecto en el que se beneficiaron veinte (20) emprendedores de los municipios del departamento del Atlántico en el diseño y desarrollo de materiales ecológicos, verdes y sostenibles, promoviendo la innovación y la aplicación práctica en proyectos reales, el cual fue orientado a través de un proceso de formación teórico práctico en el marco del del convenio No.005 del 2025 cuyo objeto es: “DESARROLLO CONJUNTO DE UN PROGRAMA DE CAPACITACIÓN DIRIGIDO A ORGANIZACIONES COMUNITARIAS PARA APOYAR LA GESTIÓN AMBIENTAL EN LA CONSERVACIÓN DE ECOSISTEMAS, GESTIÓN DEL RIESGO, ECOCIRCULARIDAD, COMUNIDADES ENERGÉTICAS Y SEGURIDAD ALIMENTARIA EN LOS MUNICIPIOS DE JUAN DE ACOSTA, PALMAR DE VARELA, PUERTO COLOMBIA Y OTRAS LOCALIDADES DEL DEPARTAMENTO DEL ATLÁNTICO”.</t>
  </si>
  <si>
    <t xml:space="preserve">5.4.1.4. Promover la articulación de la Mesa Departamental de cambio climático </t>
  </si>
  <si>
    <t>Número de encuentros promovidos y desarrollados por la Corporación de las mesas Departamentales de cambio climático</t>
  </si>
  <si>
    <t>A través de acciones desarrolladas en el marco del convenio No. 005 del 2.025 cuyo objeto es: “DESARROLLO CONJUNTO DE UN PROGRAMA DE CAPACITACIÓN DIRIGIDO A ORGANIZACIONES COMUNITARIAS PARA APOYAR LA GESTIÓN AMBIENTAL EN LA CONSERVACIÓN DE ECOSISTEMAS, GESTIÓN DEL RIESGO, ECOCIRCULARIDAD, COMUNIDADES ENERGÉTICAS Y SEGURIDAD ALIMENTARIA EN LOS MUNICIPIOS DE JUAN DE ACOSTA, PALMAR DE VARELA, PUERTO COLOMBIA Y OTRAS LOCALIDADES DEL DEPARTAMENTO DEL ATLÁNTICO”. La C.R.A., dio cumplimiento a la meta programada para la vigencia 2025.
Para el encuentro de las mesas departamentales se hizo entrega de las invitaciones formales a representantes de la cuádruple hélice (gobierno, academia, sector privado y sociedad civil. La selección de éstos se basó en una base de datos construida en el componente de la Mesa intersectorial de Economía Circular.</t>
  </si>
  <si>
    <t>PROGRAMA 5.5. GESTIÓN DEL RIESGO Y CAMBIO CLIMÁTICO</t>
  </si>
  <si>
    <t>Proyecto 5.5.1. Conocimiento y adaptación a la Gestión del Riesgo</t>
  </si>
  <si>
    <t>5.5.1.1. Actualizar estudios técnicos para el conocimiento y reducción del riesgo e incorporación de la gestión del riesgo en el ordenamiento territorial de los municipios del departamento.</t>
  </si>
  <si>
    <t>Número de estudios técnicos en municipios con mapas actualizados de amenaza, vulnerabilidad y riesgo por inundación, remoción en masa, avenidas torrenciales y otros, en el Departamento del Atlántico.</t>
  </si>
  <si>
    <t>Número de entes territoriales asistidos para el conocimiento y reducción del riesgo de desastres e incorporación de la gestión del riesgo en el ordenamiento territorial</t>
  </si>
  <si>
    <t>A corte 31 de diciembre de 2025, se cumplió con la meta programada para dicha vigencia, se desarrollaron las siguientes actividades:
	Expedición de la Circular No. 001 del 27 de marzo de 2.025, por medio de la cual se hacen unas RECOMENDACIONES DE PREPARACIÓN PARA EL INICIO DE LA PRIMERA TEMPORADA DE LLUVIAS 2.025 CON PROBABILIDAD DE CONDICIONES DEL FENÓMENO DE VARIABILIDAD CLIMÁTICA – LA NIÑA Y TEMPORADA DE CICLONES TROPICALES EN EL MAR CARIBE, PARA LOS MUNICIPIOS DEL DEPARTAMENTO DEL ATLÁNTICO Y EL DISTRITO DE BARRANQUILLA.
	Elaboración del cronograma de asistencias técnicas a los 23 entes territoriales de jurisdicción de esta Corporación.
	Asistencia técnica al municipio de Suan, para el conocimiento y reducción del riesgo de desastres e incorporación de la gestión del riesgo en el ordenamiento territorial, el día 7 de mayo de 2.025 a partir de las 10:00 a.m. en la alcaldía municipal.
	Asistencia técnica al municipio de Piojó, para el conocimiento y reducción del riesgo de desastres e incorporación de la gestión del riesgo en el ordenamiento territorial, el día 18 de junio de 2.025 a partir de las 10:00 a.m. en la alcaldía municipal.
	Asistencia técnica al municipio de Usiacurí, para el conocimiento y reducción del riesgo de desastres e incorporación de la gestión del riesgo en el ordenamiento territorial, el día 25 de junio de 2.025 a partir de las 10:00 a.m. en la alcaldía municipal.
	Asistencia técnica al municipio de Baranoa, para el conocimiento y reducción del riesgo de desastres e incorporación de la gestión del riesgo en el ordenamiento territorial, el día 25 de junio de 2.025 a partir de las 2:00 p.m. en la alcaldía municipal.
	Asistencia técnica al municipio de Santo Tomas, para el conocimiento y reducción del riesgo de desastres e incorporación de la gestión del riesgo en el ordenamiento territorial, el día 09 de julio de 2.025 a partir de las 10:00 a.m. en la alcaldía municipal.
	Asistencia técnica al municipio de Polonuevo, para el conocimiento y reducción del riesgo de desastres e incorporación de la gestión del riesgo en el ordenamiento territorial, el día 09 de julio de 2.025 a partir de las 2:00 p.m. en la Corporación Autónoma Regional del Atlántico, C.R.A.
	Asistencia técnica al municipio de Palmar de Varela, para el conocimiento y reducción del riesgo de desastres e incorporación de la gestión del riesgo en el ordenamiento territorial, el día 22 de julio de 2.025 a partir de las 2:00 p.m. en la alcaldía municipal.
	Asistencia técnica al municipio de Sabanagrande, para el conocimiento y reducción del riesgo de desastres e incorporación de la gestión del riesgo en el ordenamiento territorial, el día 29 de julio de 2.025 a partir de las 10:00 a.m. en la alcaldía municipal.
	Asistencia técnica al municipio de Malambo, para el conocimiento y reducción del riesgo de desastres e incorporación de la gestión del riesgo en el ordenamiento territorial, el día 29 de julio de 2.025 a partir de las 2:00 p.m. en la alcaldía municipal.
	Asistencia técnica al municipio de Santa Lucía, para el conocimiento y reducción del riesgo de desastres e incorporación de la gestión del riesgo en el ordenamiento territorial, el día 08 de agosto de 2.025 a partir de las 10:00 a.m. en la alcaldía municipal.
	Asistencia técnica al municipio de Repelón, para el conocimiento y reducción del riesgo de desastres e incorporación de la gestión del riesgo en el ordenamiento territorial, el día 08 de agosto de 2.025 a partir de las 2:00 p.m. en la alcaldía municipal.
	Asistencia técnica al municipio de Manatí, para el conocimiento y reducción del riesgo de desastres e incorporación de la gestión del riesgo en el ordenamiento territorial, el día 12 de agosto de 2.025 a partir de las 10:00 a.m. en la alcaldía municipal.
	Asistencia técnica al municipio de Galapa, para el conocimiento y reducción del riesgo de desastres e incorporación de la gestión del riesgo en el ordenamiento territorial, el día 13 de agosto de 2.025 a partir de las 10:00 a.m. en la alcaldía municipal.
	Asistencia técnica al municipio de Soledad, para el conocimiento y reducción del riesgo de desastres e incorporación de la gestión del riesgo en el ordenamiento territorial, el día 13 de agosto de 2.025 a partir de las 2:00 p.m. en la alcaldía municipal.
	Asistencia técnica al municipio de Campo de la Cruz, para el conocimiento y reducción del riesgo de desastres e incorporación de la gestión del riesgo en el ordenamiento territorial, el día 19 de agosto de 2.025 a partir de las 10:00 a.m. en la alcaldía municipal.
	Asistencia técnica al municipio de Ponedera, para el conocimiento y reducción del riesgo de desastres e incorporación de la gestión del riesgo en el ordenamiento territorial, el día 19 de agosto de 2.025 a partir de las 2:00 p.m. en la alcaldía municipal.
	Asistencia técnica al municipio de Juan de Acosta, para el conocimiento y reducción del riesgo de desastres e incorporación de la gestión del riesgo en el ordenamiento territorial, el día 19 de agosto de 2.025 a partir de las 2:00 p.m. en la Corporación Autónoma Regional del Atlántico, C.R.A.
	Asistencia técnica al municipio de Luruaco, para el conocimiento y reducción del riesgo de desastres e incorporación de la gestión del riesgo en el ordenamiento territorial, el día 27 de agosto de 2.025 a partir de las 10:00 a.m. en la alcaldía municipal.
	Asistencia técnica al municipio de Sabanalarga, para el conocimiento y reducción del riesgo de desastres e incorporación de la gestión del riesgo en el ordenamiento territorial, el día 27 de agosto de 2.025 a partir de las 2:00 p.m. en la alcaldía municipal.
	Asistencia técnica al municipio de Candelaria, para el conocimiento y reducción del riesgo de desastres e incorporación de la gestión del riesgo en el ordenamiento territorial, el día 28 de agosto de 2.025 a partir de las 10:00 a.m. en la alcaldía municipal.
	Asistencia técnica al municipio de Tubará, para el conocimiento y reducción del riesgo de desastres e incorporación de la gestión del riesgo en el ordenamiento territorial, el día 02 de septiembre de 2.025 a partir de las 10:00 a.m. en la alcaldía municipal.
	Asistencia técnica al municipio de Barranquilla, para el conocimiento y reducción del riesgo de desastres e incorporación de la gestión del riesgo en el ordenamiento territorial, el día 01 de octubre de 2.025 a partir de las 10:00 a.m. en la alcaldía municipal.
	Asistencia técnica al municipio de Puerto Colombia, para el conocimiento y reducción del riesgo de desastres e incorporación de la gestión del riesgo en el ordenamiento territorial, el día 01 de octubre de 2.025 a partir de las 2:00 p.m. en la alcaldía municipal.</t>
  </si>
  <si>
    <t>Número de entes terrritorias acompañados técnicamente para la estructuración y formulación de proyectos relacionados con afectaciones por el cambio climático en municipios de jurisdicción de la C.R.A..</t>
  </si>
  <si>
    <t>A corte 31 de diciembre de 2025, la meta se encuentra cumplida al 100% con el desarrollo de las siguientes actividades:
•	El día 3 de junio de 2025 la jornada de Capacitación dirigida a los entes territoriales de nuestra jurisdicción para la estructuración de proyectos de acción climática; con la participación de delegados de los municipios de: Galapa, Santo Tomás, Luruaco, Sabanalarga, Soledad (Edumas), Malambo y Polonuevo.
Imagen 346. Listado de asistencia de Capacitación Estructuración Proyectos de Acción Climática.
	Asistencia técnica al municipio de Suan, para la estructuración de proyectos de acción climática, el día 7 de mayo de 2.025 a partir de las 10:00 a.m. en la alcaldía municipal.
	Asistencia técnica al municipio de Piojó, para la estructuración de proyectos de acción climática, el día 18 de junio de 2.025 a partir de las 10:00 a.m. en la alcaldía municipal.
	Asistencia técnica al municipio de Usiacurí, para la estructuración de proyectos de acción climática, el día 25 de junio de 2.025 a partir de las 10:00 a.m. en la alcaldía municipal.
	Asistencia técnica al municipio de Baranoa, para la estructuración de proyectos de acción climática, el día 25 de junio de 2.025 a partir de las 2:00 p.m. en la alcaldía municipal.
	Asistencia técnica al municipio de Santo Tomas, para la estructuración de proyectos de acción climática, el día 09 de julio de 2.025 a partir de las 10:00 a.m. en la alcaldía municipal.
	Asistencia técnica al municipio de Polonuevo, para la estructuración de proyectos de acción climática, el día 09 de julio de 2.025 a partir de las 2:00 p.m. en la Corporación Autónoma Regional del Atlántico, C.R.A.
	Asistencia técnica al municipio de Palmar de Varela, para la estructuración de proyectos de acción climática, el día 22 de julio de 2.025 a partir de las 2:00 p.m. en la alcaldía municipal.
	Asistencia técnica al municipio de Sabanagrande, para la estructuración de proyectos de acción climática, el día 29 de julio de 2.025 a partir de las 10:00 a.m. en la alcaldía municipal.
	Asistencia técnica al municipio de Malambo, para la estructuración de proyectos de acción climática, el día 29 de julio de 2.025 a partir de las 2:00 p.m. en la alcaldía municipal.
	Asistencia técnica al municipio de Santa Lucía, para la estructuración de proyectos de acción climática, el día 08 de agosto de 2.025 a partir de las 10:00 a.m. en la alcaldía municipal.
	Asistencia técnica al municipio de Repelón, para la estructuración de proyectos de acción climática, el día 08 de agosto de 2.025 a partir de las 2:00 p.m. en la alcaldía municipal.
	Asistencia técnica al municipio de Manatí, para la estructuración de proyectos de acción climática, el día 12 de agosto de 2.025 a partir de las 10:00 a.m. en la alcaldía municipal.
	Asistencia técnica al municipio de Galapa, para la estructuración de proyectos de acción climática, el día 13 de agosto de 2.025 a partir de las 10:00 a.m. en la alcaldía municipal.
	Asistencia técnica al municipio de Soledad, para la estructuración de proyectos de acción climática, el día 13 de agosto de 2.025 a partir de las 2:00 p.m. en la alcaldía municipal.
	Asistencia técnica al municipio de Campo de la Cruz, para la estructuración de proyectos de acción climática, el día 19 de agosto de 2.025 a partir de las 10:00 a.m. en la alcaldía municipal.
	Asistencia técnica al municipio de Ponedera, para la estructuración de proyectos de acción climática, el día 19 de agosto de 2.025 a partir de las 2:00 p.m. en la alcaldía municipal.
	Asistencia técnica al municipio de Juan de Acosta, para la estructuración de proyectos de acción climática, el día 19 de agosto de 2.025 a partir de las 2:00 p.m. en la Corporación Autónoma Regional del Atlántico, C.R.A.
	Asistencia técnica al municipio de Luruaco, para la estructuración de proyectos de acción climática, el día 27 de agosto de 2.025 a partir de las 10:00 a.m. en la alcaldía municipal.
	Asistencia técnica al municipio de Sabanalarga, para la estructuración de proyectos de acción climática, el día 27 de agosto de 2.025 a partir de las 2:00 p.m. en la alcaldía municipal.
	Asistencia técnica al municipio de Candelaria, para la estructuración de proyectos de acción climática, el día 28 de agosto de 2.025 a partir de las 10:00 a.m. en la alcaldía municipal.
	Asistencia técnica al municipio de Tubará, para la estructuración de proyectos de acción climática, el día 02 de septiembre de 2.025 a partir de las 10:00 a.m. en la alcaldía municipal.
	Asistencia técnica al municipio de Barranquilla, para la estructuración de proyectos de acción climática, el día 01 de octubre de 2.025 a partir de las 10:00 a.m. en la alcaldía municipal.
	Asistencia técnica al municipio de Puerto Colombia, para la estructuración de proyectos de acción climática, el día 01 de octubre de 2.025 a partir de las 2:00 p.m. en la alcaldía municipal.</t>
  </si>
  <si>
    <t>5.5.1.4. Implementar la metodología de evaluación de daños, y análisis de necesidades ambientales post desastres continental EDANA-C</t>
  </si>
  <si>
    <t xml:space="preserve">Número de documentos elaborados con información de la Metodología de evaluación de daños, y análisis de necesidades ambientales post desastres continental EDANA-C implementada </t>
  </si>
  <si>
    <t xml:space="preserve">A corte 31 de diciembre de 2025, la meta se encuentra cumplida con la elaboración de un informe de la implementación de la Metodología de evaluación de daños, y análisis de necesidades ambientales post desastres continental EDANA-C, en dicho informe se señala lo siguiente:
La metodología EDANA C (Evaluación de Daños y Análisis de Necesidades Ambientales posdesastre Continental), desarrollada por el Ministerio de Ambiente y Desarrollo Sostenible de Colombia, es una herramienta estratégica diseñada para orientar a las Autoridades Ambientales, como la Corporación Autónoma Regional del Atlántico, en la evaluación rápida de daños ambientales y la identificación de necesidades asociadas tras la ocurrencia de eventos desastrosos de origen natural o socio natural. </t>
  </si>
  <si>
    <t>Metodología de evaluación de daños, y análisis de necesidades ambientales post desastres continental EDANA-C implementada</t>
  </si>
  <si>
    <t>Proyecto 5.5.2. Intervenciones locales orientadas a reducir la vulnerabilidad y el aumento de la resiliencia a la variabilidad y al Cambio Climático</t>
  </si>
  <si>
    <t>5.5.2.1. Implementar acciones que fortalezcan la Resiliencia, mitigación y adaptación al cambio climático del Departamento del Atlántico</t>
  </si>
  <si>
    <t>Número de acciones que fortalezcan la Resiliencia, mitigación y adaptación al cambio climático del Departamento del Atlántico implementadas</t>
  </si>
  <si>
    <t>Con las acciones desarrolladas en el marco del convenio No. 003 del 2.025 cuyo objeto es: " AUNAR ESFUERZOS PARA IMPLEMENTAR ACCIONES ENCAMINADAS A LA SOSTENIBILIDAD DEL USO DEL AGUA, LA RESILIENCIA CLIMÁTICA Y A FORTALECER LA GESTIÓN INTEGRAL DEL RECURSO HÍDRICO", la C.R.A:, se implementaron estrategias técnicas ambientales que permiten la conservación del recurso hídrico, protección de rondas hídricas, uso eficiente y ahorro del agua, como medidas de adaptación al cambio climático, resiliencia climática, dando cumplimiento a la meta programada para la vigencia 2.025.</t>
  </si>
  <si>
    <t xml:space="preserve">5.5.2.2. Realizar seguimiento a las obras de recuperación ambiental del Arroyo El Platanal Ubicado en el Municipio de Soledad. (Relevancia: PNGIRH) </t>
  </si>
  <si>
    <t xml:space="preserve">Número de informes técnicos con el seguimiento a las obras de recuperación del Arroyo El Platanal recuperados ambientalmente </t>
  </si>
  <si>
    <t>Para la vigencia del periodo 2.025 el cumplimiento de esta meta se alcanzó mediante el Contrato de Obra No. 251 de 2.022, cuyo objeto es “REALIZAR LA CONSTRUCCIÓN DE LA CANALIZACIÓN PARA LA RECUPERACIÓN AMBIENTAL DEL ARROYO PLATANAL, UBICADO EN EL MUNICIPIO DE SOLEDAD, DEPARTAMENTO DEL ATLÁNTICO”. 
Para el periodo comprendido entre los meses de Junio a diciembre de 2025, el contratista de obra continuó con las actividades constructivas en el Tramo principal del Arroyo Platanal y sus afluentes, desarrollando las labores de: 
•	Excavación.
•	Relleno estructural tipo recebo. 
•	Relleno compacto en piedra ciclópea.
•	Instalación de geotextiles tejido T2400. 
•	Repaleo de materiales interno. 
•	Suministro de acero de refuerzo para losas de fondo y muros. 
•	Suministro y colocación de concreto hidráulico impermeabilizado de 4000 psi para losas de fondo y muros. 
•	Rellenos laterales (adyacentes a los muros de concreto).
•	Construcción de barandas de protección.
A la fecha, se ha construido un total de 2139 metros lineales de canal en concreto reforzado construido, incluidos losa de fondo y muros.</t>
  </si>
  <si>
    <t>Se realiza la armonización con el PROYECTO No 1.3.1. GENERACIÓN DE CONOCIMIENTO Y REDUCCIÓN DEL RIESGO ASOCIADO AL RECURSO HÍDRICO, del Plan de Acción 2020-2023</t>
  </si>
  <si>
    <t>5.5.2.3. Realizar seguimiento ambiental a las Obras de canalización de los arroyos del Distrito de Barranquilla.</t>
  </si>
  <si>
    <t>Número de informes técnicos con el seguimiento a las obras de canalización de los arroyos del Distrito de Barranquilla</t>
  </si>
  <si>
    <t>A corte 31 de diciembre de 2025, la meta programada se encuentra cumplida, con las siguientes actividades:
•	Se solicitó a la Agencia Distrital de Infraestructura de la Alcaldía del Distrito de Barranquilla, a través del oficio No. 004480 del 25 de junio de 2025, el informe de avance de las obras de canalización de los arroyos en el Distrito de Barranquilla. La información completa se encuentra registrada en el informe de gestión en la respectiva acción estrategica.</t>
  </si>
  <si>
    <t>5.5.2.4. Implementar acciones para controlar y mitigar el estado de la Erosión Costera en el Departamento del Atlántico.</t>
  </si>
  <si>
    <t>Número de acciones definidas e implementadas para controlar y mitigar el estado de la Erosión Costera en el Departamento del Atlántico</t>
  </si>
  <si>
    <t>A corte 31 de diciembre de 2025, la meta se encuentra cumplida con la ejecución del CONVENIO 0011 INVEMAR – CRA “GENERACIÓN DE INFORMACIÓN TÉCNICO-CIENTÍFICA COMO SOPORTE A LA GESTIÓN AMBIENTAL DE LA CORPORACIÓNAUTÓNOMA REGIONAL DEL ATLÁNTICO– CRA EN LA ZONA COSTERA DEL DEPARTAMENTO DEL ATLÁNTICO. En el marco de este se desarrollaron acciones clave orientadas a mejorar la comprensión y gestión de los ecosistemas marino-costeros del Atlántico. Entre las actividades desarrolladas se incluyen, el monitoreo de la calidad de las aguas y sedimentos, manteniendo la operatividad del nodo Atlántico, correspondiente a la Red de Vigilancia para la Conservación y Protección de las Aguas Marinas y Costeras de Colombia (REDCAM), dando continuidad al monitoreo anual o semestral que se viene realizando desde el año 2001, incluyendo además las variables del sistema de carbonatos en Puerto Velero y la evaluación de basura marina y microplásticos en playas priorizadas. Por otra parte, se realizó el análisis detallado del estado del ecosistema de arrecifes coralinos, acompañado de un inventario de especies asociadas. 
Se realizó la identificación de cinco principales factores de degradación ambiental y la evaluación de 102 impactos en las playas de Puerto Velero y Caño Dulce. Este análisis permitió formular medidas preventivas orientadas a la mitigación de presiones antrópicas y definir estrategias de protección de los ecosistemas. Complementariamente, se desarrollaron actividades de alfabetización oceánica dirigidas a comunidades locales y establecimientos educativos, con el propósito de fortalecer la conciencia ambiental y la corresponsabilidad en la gestión ambiental desde edades tempranas.</t>
  </si>
  <si>
    <t>LINEA ESTRATEGICA 6. FORTALECIMIENTO Y MODERNIZACIÓN DE LA INSTITUCIONALIDAD AMBIENTAL</t>
  </si>
  <si>
    <t>PROGRAMA 6.1: GESTIÓN ESTRATÉGICA DEL TALENTO HUMANO</t>
  </si>
  <si>
    <t>Proyecto 6.1.1. Gestión del desarrollo del talento humano</t>
  </si>
  <si>
    <t>6.1.1.1. (a) Consolidar la memoria institucional mediante la implementación del Sistema de Gestión del Conocimiento basado en la Norma ISO- 30401</t>
  </si>
  <si>
    <t xml:space="preserve">Porcentaje de avance en el diagnóstico de los requisistos de la Norma ISO-30401 aplicables en la entidad. </t>
  </si>
  <si>
    <t>Para la vigencia 2025, se dio cumplimiento a la meta del cincuenta por ciento (50%) del diagnóstico de los requisitos de la Norma ISO-30401 aplicables en la entidad, completándose el diagnóstico de la norma antes indicada. 
Inicialmente, teniendo en cuenta que el Sistema de Gestión del Conocimiento que requiere implementar la C.R.A., encuentra sus bases en la norma ISO 30401:2019 - Requerimientos del Sistema de Gestión del Conocimiento, así como, en la dimensión 6 del Modelo Integrado de Planeación y Gestión denominada Gestión del Conocimiento y de la Innovación; se diseñó y aplicó una herramienta de evaluación para determinar el nivel de cumplimiento actual de la C.R.A. frente a la gestión del conocimiento en sus procesos.</t>
  </si>
  <si>
    <t>3299 Fortalecimiento de la gestión y dirección del Sector Ambiente y Desarrollo Sostenible</t>
  </si>
  <si>
    <t xml:space="preserve">PROPIO </t>
  </si>
  <si>
    <t>6.1.1.1. (b) Consolidar la memoria institucional mediante la implementación del Sistema de Gestión del Conocimiento basado en la Norma ISO- 30401</t>
  </si>
  <si>
    <t>Porcentaje de  implementación del Sistema de Gestión del Conocimiento basado en la Norma ISO- 30401.</t>
  </si>
  <si>
    <t>Durante el presente año 2025, se logró la meta establecida del Veinte por ciento (20%) de implementación del Sistema de Gestión del Conocimiento basado en la Norma ISO- 30401.
Con base en los resultados obtenidos en el diagnóstico, y en la identificación de los requisitos aplicables del Modelo Integrado de Planeación y Gestión y de la Norma ISO 30401:2019 - Requisitos para el Sistema de Gestión del Conocimiento, se procedió con la elaboración del documento que contiene los lineamientos que en esta materia se necesitan para implementar la norma en la Corporación Autónoma Regional del Atlántico.</t>
  </si>
  <si>
    <t>6.1.1.2 (a) Implementar un Sistema de Evaluaciones de Desempeño por Competencia.</t>
  </si>
  <si>
    <t xml:space="preserve">Porcentaje de avance en el estudio para la definicion de perfiles de competencias por cargos. </t>
  </si>
  <si>
    <t>Para la vigencia 2025, se crearon ocho nuevos cargos como parte de la continuidad del Rediseño Institucional. Para su creación, se realizó la caracterización individual de cada uno, definiendo las competencias correspondientes a los distintos perfiles establecidos. De los ocho cargos, dos corresponden al nivel asistencial (conductores), tres a profesionales especializados y tres a profesionales sin experiencia.
En este proceso se revisaron el Decreto 618 de 2018, el Decreto 1083 de 2015 y la Resolución 0667 de 2018, mediante la cual el Departamento Administrativo de la Función Pública adopta el Catálogo de Competencias Funcionales para las áreas o procesos transversales de las entidades públicas. Esta normativa sirvió como base para definir los perfiles descritos en el Manual de Funciones y Competencias Laborales vigente, adoptado mediante la Resolución No. 000277 del 11 de abril de 2025. Dichos perfiles serán fundamentales para el diseño del sistema propio de evaluación del desempeño por competencias que implementará la entidad.</t>
  </si>
  <si>
    <t>6.1.1.2 (b) Implementar un Sistema de Evaluaciones de Desempeño por Competencia.</t>
  </si>
  <si>
    <t>Número  de diseños del sistema de evaluaciones de desempeño por competencias propuestos para la entidad.</t>
  </si>
  <si>
    <t xml:space="preserve">La Oficina de Gestión Humana se encuentra en fase de identificación de requisitos y lineamientos aplicables al sistema de evaluación del desempeño por competencias de la Corporación Autónoma Regional del Atlántico.
De igual forma, el documento GH-PR-07 Evaluación de Desempeño Laboral incorporado en el Sistema de Gestión Integrado de la entidad está siendo objeto de revisión por parte de la dependencia. </t>
  </si>
  <si>
    <t>6.1.1.2 (c) Implementar un Sistema de Evaluaciones de Desempeño por Competencia.</t>
  </si>
  <si>
    <t xml:space="preserve">Número de Sistemas Implementados para la  evaluacion del desempeño por competencia.  </t>
  </si>
  <si>
    <t>6.1.1.3. (a) ,Programa de Formación y Desarrollo del Servidor Público 4.0</t>
  </si>
  <si>
    <t>Numero de planes Institucionales de Capacitación implementados en la entidad</t>
  </si>
  <si>
    <t>En cumplimiento de esta meta, se suscribió el contrato No. 0265 de 2025 con el INSTITUTO COLOMBIANO DE NORMAS TECNICAS Y CERTIFICACIÓN – ICONTEC, con el objeto de “PRESTACIÓN DE SERVICIOS PROFESIONALES Y DE APOYO A LA GESTIÓN PARA EL DESARROLLO DE UN PROGRAMA DE FORTALECIMIENTO TÉCNICO, DE HABILIDADES Y COMPETENCIAS, DIRIGIDO AL TALENTO HUMANO DE LA CORPORACIÓN AUTÓNOMA REGIONAL DEL ATLÁNTICO - C.R.A.”
El contrato se ejecutó y culminó en su totalidad, desarrollando las siguientes temáticas durante la vigencia 2025:
1.	Ciclo de formación en comunicación efectiva y cultural.
2.	Curso monitoreo de la restauración ecológica.
3.	Participación Social en la restauración ecológica.
4.	Contratación Pública.
5.	Gestión de Personal, y Reforma laboral Ley 2466 de 2025.
6.	Modelo de Comunicación nivel directivo.</t>
  </si>
  <si>
    <t>Se realiza la armonización con la LÍNEA ESTRATÉGICA No. 5. SOSTENIBILIDAD INSTITUCIONAL, del Plan de Acción 2020-2023</t>
  </si>
  <si>
    <t>6.1.1.3. (b) ,Programa de Formación y Desarrollo del Servidor Público 4.0</t>
  </si>
  <si>
    <t>Numero de Planes de bienestar e incentivos implementados en la entidad</t>
  </si>
  <si>
    <t>A corte 31 de diciembre de 2025, se logró la meta de implementar el 100% del Plan de Bienestar e Incentivos en la entidad.
Para la vigencia 2025 se cumplieron las actividades programadas en el Plan de Bienestar y Estímulos, cumpliendo el objetivo de esta vigencia 2025 de “Mantener y mejorar las condiciones que propendan por el desarrollo integral, la calidad de vida, la convivencia, la satisfacción laboral, el buen desempeño, y la salud física y mental de las y los servidores públicos de la C.R.A. y sus familias conforme al cronograma inicial.</t>
  </si>
  <si>
    <t>PROGRAMA 6.2: TECNOLOGÍAS DE LA INFORMACIÓN PARA EL FORTALECIMIENTO Y DESARROLLO DE LA TRANSFORMACIÓN DIGITAL DE LA ENTIDAD</t>
  </si>
  <si>
    <t>Proyecto 6.2.1 Garantizar la implementación de la Política de Gobierno Digital</t>
  </si>
  <si>
    <t>6.2.1.1 Garantizar la implementación de lineamientos normativos de la Política de Gobierno Digital.</t>
  </si>
  <si>
    <t>Porcentaje de cumplimiento de la Política de Gobierno Digital implementada</t>
  </si>
  <si>
    <t>Durante la presente vigencia 2025 se logró y superó la meta con un 64,4% de cumplimiento de la Política de Gobierno Digital implementada.
Se realizó la contratación por concurso de méritos del equipo asesor para implementar habilitadores transversales de la política, específicamente MSPI y, líneas de acción, específicamente decisiones basadas en datos.
Se realizaron mesas de trabajo con el equipo base (Secretaría General, Oficina Asesora de CTeI, Gestión Humana) y se definieron las actividades de recolección de datos y expectativas.</t>
  </si>
  <si>
    <t>6.2.1.2 Cultura y apropiación digital que desarrollen capacidades para el Acceso, Uso y Aprovechamiento de Tecnologías de la Información</t>
  </si>
  <si>
    <t>Porcentaje de cumplimiento del programa establecido para el fortalecimiento de las capacidades  para el Acceso, Uso y Aprovechamiento de Tecnologías de la Información.</t>
  </si>
  <si>
    <t>Durante la vigencia 2025 se dio cumplimiento a la meta con el cien por ciento (100%) de implementación del programa de fortalecimiento de capacidades para el Acceso, Uso y Aprovechamiento de Tecnologías de la Información.
Se evaluaron los resultados de la POC Chatbot (260 de 2025, OpenSky) y se institucionalizó con el nombre de “Lorenzo”, el cual recibe amplia difusión. 
Se realizó contratación del licenciamiento requerido para su continuidad (349 de 2025, OpenSky), dado el impacto positivo generado en los grupos de prueba, tanto internos como externos y a nivel de seguimientos a la gestión (Auditoría interna e Icontec).
Se realizaron actividades de divulgación de los servicios tecnológicos de la entidad, mediante el uso de pantallas interactivas (312 de 2025, Sin Filtro), los cuales gozaron de una positiva recepción entre la ciudadanía, usuarios de los recursos naturales y grupos de interés. 
En este sentido, se espera un incremento en la medición de la Política de Gobierno Digital en la Corporación Autónoma Regional de Atlántico (FURAG, Índice de Gobierno Digital) gracias a la divulgación de los servicios realizados por este medio.</t>
  </si>
  <si>
    <t>6.2.1.3 Sostenimiento de la Sede electrónica de la CRA</t>
  </si>
  <si>
    <t>Número de acciones implementadas para el sostenimiento  de la Sede Electrónica de la C.R.A</t>
  </si>
  <si>
    <t>A corte 31 de diciembre de 2025 la Corporación logró y superó la meta programada, con Siete (7) Acciones para garantizar el sostenimiento de la Sede Electrónica de la C.R.A.
Se renovó el contrato de prestación de servicios del Webmaster, el cual realizó la actualización de la plataforma Joomla a su nueva versión. La actualización también incluyó la renovación del diseño para hacerlo más amigable con la página. 
De igual forma se realizó un proceso de hardening (Endurecimiento de la seguridad) del servidor web, para disminuir la probabilidad de ciberataques y hacking del sitio web corporativo.
Adicionalmente, se implementó la plataforma Zoho SalesIQ para el seguimiento de las estadísticas de uso y acceso al website, brindando mayor información acerca de los visitantes, preferencias y expectativas. La información completa se encuentra registrada en el informe de gestión en la respectiva acción estrategica.</t>
  </si>
  <si>
    <t>Proyecto 6.2.2 Fortalecer la Seguridad de la Información</t>
  </si>
  <si>
    <t>6.2.2.1 (a) Fortalecimiento de la Seguridad de la Información y Ciberseguridad</t>
  </si>
  <si>
    <t>Numero  de herramientas de Ciberseguridad implementadas y mantenidas</t>
  </si>
  <si>
    <t>A cierre de la vigencia 2025 se alcanzó la meta de contar en la entidad con cuatro (4) Herramientas de Ciberseguridad implementadas y mantenidas.
Para el logro de esta meta, se suscribió el contrato No. 278 de 2025 cuyo objeto es la “PRESTACIÓN DE SERVICIOS PROFESIONALES Y DE APOYO A LA GESTIÓN A LA CORPORACIÓN AUTÓNOMA REGIONAL DEL ATLÁNTICO – C.R.A., EN LA EJECUCIÓN DE ACTIVIDADES DE MONITOREO, ANÁLISIS Y RECUPERACIÓN DE LOS RECURSOS TECNOLÓGICOS Y LA CIBERSEGURIDAD DE LA ENTIDAD”, el cual ha venido cumpliendo con las siguientes actividades técnicas: 
Se recibió apoyo en la vigilancia y mitigación de amenazas cibernéticas y ataques provenientes de internet, mediante la gestión de soluciones de seguridad, sistemas de protección perimetral y detección de intrusos. Las estrategias implementadas permitieron reducir el impacto potencial en las operaciones y fortalecer la resiliencia frente a ataques, minimizando el riesgo de interrupciones.</t>
  </si>
  <si>
    <t>6.2.2.1 (b) Fortalecimiento de la Seguridad de la Información y Ciberseguridad</t>
  </si>
  <si>
    <t xml:space="preserve">Porcentaje de avance en la gestión y monitoreo </t>
  </si>
  <si>
    <t>A corte 31 de diciembre de 2025 se logró la meta, alcanzando un cumplimiento superior al programado, con un cien por ciento (100%) de cumplimiento de la estrategia de monitoreo de los servicios tecnológicos.
Durante la presente vigencia se realizó el acompañamiento y asesoría en la gestión y monitoreo de los recursos tecnológicos y la infraestructura de ciberseguridad, abarcando la gestión de herramientas de seguridad perimetral como firewall, protección de endpoints, servidores virtualizados, bases de datos distribuidas y sistemas web críticos. Se garantizó la integración y actualización de estas herramientas para mantener el funcionamiento óptimo de la infraestructura tecnológica.
Se recibieron emails diarios de seguimiento de las consolas de copias de seguridad, seguridad perimetral (Firewall), antivirus, DNS, Microsoft 365 Defender, entre otros, garantizando la continua visibilidad de las operaciones de seguridad de dichas herramientas.</t>
  </si>
  <si>
    <t>6.2.2.1 (c) Fortalecimiento de la Seguridad de la Información y Ciberseguridad</t>
  </si>
  <si>
    <t>Número de Modelos de Seguridad y Privacidad de la Información y de la estrategia de Ciberseguridad implementados y en mantenimiento</t>
  </si>
  <si>
    <t>Proyecto 6.2.3 Actualización, Soporte y Mantenimiento T.I.</t>
  </si>
  <si>
    <t>6.2.3.1 (a) Adquisición de Tecnologías de la información</t>
  </si>
  <si>
    <t>Porcentaje de renovación de las herramientas tecnólogicas necesarias para el funcionamiento de la C.R.A</t>
  </si>
  <si>
    <t xml:space="preserve">Durante el periodo evaluado se alcanzó la meta de la renovación del treinta por ciento (30%) de las herramientas tecnológicas necesarias para el funcionamiento de la entidad.
Las actividades desarrolladas permitieron dotar a la entidad de herramientas y servicios claves para el cumplimiento de sus funciones misionales y estratégicas, asegurando la continuidad operativa y la modernización institucional. La información completa se encuentra registrada en el informe de gestión en la respectiva acción estrategica.
</t>
  </si>
  <si>
    <t>6.2.3.1 (b) Adquisición de Tecnologías de la información</t>
  </si>
  <si>
    <t>Porcentaje de actualización del software base y conectividad necesarios para el funcionamiento de la C.R.A</t>
  </si>
  <si>
    <t>Para el logro de la meta, se adquirieron 36 licencias Microsoft 365 (E3, negocios básica y negocios estándar) para garantizar la disponibilidad y capacidad de los buzones críticos, así como 4 de Power BI pro y 10 de Microsoft Teams, todas a través de la Tienda Virtual del Estado Colombiano.</t>
  </si>
  <si>
    <t>6.2.3.2 Mantenimiento, soporte y actualización tecnológica</t>
  </si>
  <si>
    <t>Porcentaje de cumplimiento del programa anual de mantenimiento de Tecnologías de la C.R.A</t>
  </si>
  <si>
    <t xml:space="preserve">A corte de 31 de diciembre de 2025 la meta fue alcanzada y superada con un por ciento (90%) de cumplimiento del programa anual de mantenimiento de Tecnologías de la entidad.
Durante la vigencia 2025 se realizó el mantenimiento y soporte de tecnologías, con personal de planta y el apoyo de contratistas. Se cumplió con el cronograma de mantenimientos preventivos a través de la limpieza y ajuste a equipos de cómputo. 
En lo referente a soporte, durante el periodo objeto del este informe se recibieron las solicitudes por la mesa de ayuda y se gestionaron en nivel 1 por parte del profesional universitario grado 8, y se brindó un segundo nivel de atención por parte de todos los funcionarios y contratistas de la Oficina de CTID, logrando un promedio de atención y resolución eficiente. </t>
  </si>
  <si>
    <t>Proyecto 6.2.4 Sistemas de Información</t>
  </si>
  <si>
    <t xml:space="preserve">6.2.4.1 Implementar y Mantener los Sistemas de Información para la Gestión </t>
  </si>
  <si>
    <t xml:space="preserve">Número de Sistemas de información para la gestión administrativa de la entidad actualizados. </t>
  </si>
  <si>
    <t>La meta fue alcanzada en la vigencia 2025, con tres (3) Sistemas de Información para la gestión administrativa de la entidad actualizados y mantenidos, los cuales se relacionan a continuación:
1.Sistema administrativo y financiero – PCT
2. Sistema para la liquidación de la nómina de empleados de la entidad – Sistema Humano y Humano en línea.
3.Sistema de gestión Documental – Orfeo</t>
  </si>
  <si>
    <t>6.2.4.2 Realizar el reporte, validación o actualización en los Subsistemas del Sistema Ambiental Colombiano - SIAC</t>
  </si>
  <si>
    <t xml:space="preserve">Número de reportes validados o actualizados en los subsistemas del Sistema Información Ambiental Colombiano - SIAC. </t>
  </si>
  <si>
    <t>Durante el primer y segundo semestre de la igencia 2.025 con corte al 31 diciembre, se reportaron de manera oportuna la información competente en los subsistemas donde la Corporación debe reportar. Este cumplimiento garantiza la transparencia y la eficiencia en la gestión de datos, asegurando que todas las partes interesadas estén al tanto de la información relevante y actualizada que la corporación administra.
Con referente a la plataforma RUA Unificado el consolidado final de empresas con reporte a corte de 31 de diciembre fue de 95 empresas, de las cuales 80 se procedió con su validación ante el IDEAM para la vigencia 2025.</t>
  </si>
  <si>
    <t xml:space="preserve">6.2.4.3 Fortalecer los Sistemas de Información Ambiental de la CRA. </t>
  </si>
  <si>
    <t xml:space="preserve">Número de Sistemas de Información Ambiental de la C.R.A fortalecidos. </t>
  </si>
  <si>
    <t xml:space="preserve">Al cierre de la vigencia 2025 se desarrollaron acciones que buscaron el fortalecimiento de las capacidades institucionales para el uso y aprovechamiento del sistema VITAL. 
Se contó con el apoyo de un profesional experto en este sistema quien brindó soporte, actualización y transferencia de datos entre VITAL y los diferentes sistemas de información para la gestión, durante el año 2025.  </t>
  </si>
  <si>
    <t xml:space="preserve">6.2.4.4 Gobernanza de la Infraestructura de Datos (Modelo de datos) </t>
  </si>
  <si>
    <t>Porcentaje de implementación y mantenimiento de la Gobernanza de la infraestructura de datos</t>
  </si>
  <si>
    <t>Al cierre del periodo objeto de este informe, se alcanzó una cincuenta por ciento (50%) de implementación y mantenimiento de la Gobernanza de la infraestructura de datos en la entidad.
Se realizó la contratación por concurso de méritos del equipo asesor para implementar los habilitadores transversales de la política, específicamente MSPI y líneas de acción, específicamente para decisiones basadas en datos. 
Se realizó reunión con el equipo base (Secretaría General, Oficina Asesora de CTeI, Gestión Humana) y se definieron actividades de recolección de datos y expectativas. 
Se definió la implementación del MSPI y el Modelo de Gobernanza de Datos alineados con la norma SO/IEC 38505-1:2017 – Governance of data, y el Plan Nacional de Infraestructura de Datos.
Se contó como apoyo con el Contrato No. 0342 de 2025, Softsecurity para el progreso en la meta establecida para la vigencia 2025.</t>
  </si>
  <si>
    <t>3300 Fortalecimiento de la gestión y dirección del Sector Ambiente y Desarrollo Sostenible</t>
  </si>
  <si>
    <t>PROGRAMA 6.3: GESTIÓN DOCUMENTAL Y DE ARCHIVO</t>
  </si>
  <si>
    <t>Proyecto 6.3.1 : Sistema de Gestión Documental y Archivo</t>
  </si>
  <si>
    <t xml:space="preserve">6.3.1.1 (a) Generar y promover estrategias   para la conservación documental y preservación digital a largo plazo, para el mejoramiento de los Sistemas de información existentes. </t>
  </si>
  <si>
    <t>Número de MOREQ elaborados e implementados.</t>
  </si>
  <si>
    <t>Se dio cumplimiento a la meta, con la elaboración e implementación del Modelo de Requisitos para la Gestión de Documentos Electrónicos de Archivo (MOREQ) en el Sistema de Gestión Documental de la C.R.A.
MoReq (Model Requirements for the Management of Electronic Records) es un modelo de requisitos que define las especificaciones funcionales y no funcionales que debe cumplir un sistema de gestión de documentos electrónicos (SGDE) para garantizar una administración adecuada, segura y eficiente de los documentos digitales a lo largo de su ciclo de vida.</t>
  </si>
  <si>
    <t xml:space="preserve">6.3.1.1 (b) Generar y promover estrategias   para la conservación documental y preservación digital a largo plazo, para el mejoramiento de los Sistemas de información existentes. </t>
  </si>
  <si>
    <t>Porcentaje de custodia de documentos en archivo Central  en condiciones adecuadas según los parámetros legales aplicables.</t>
  </si>
  <si>
    <t>La meta tiene un avance del 90,4%, al cierre de la vigencia 2025, superando la meta definida para el presente año del 85%.
Con el objetivo de dar cumplimiento a la meta establecida, se garantizó la custodia documental mediante el contrato de Prestación de Servicios No. 173 de 2024, cuyo objeto es “PRESTACIÓN DE SERVICIOS DE ALMACENAMIENTO, CONSERVACIÓN, CUSTODIA, PRÉSTAMO Y TRANSPORTE DE LOS ACERVOS DOCUMENTALES DE LA CORPORACIÓN AUTÓNOMA REGIONAL DEL ATLÁNTICO – C.R.A., SEGÚN LAS NECESIDADES Y EN CUMPLIMIENTO DE LA LEY 594 DE 2000, EL ACUERDO 008 DE 2014 Y DEMÁS NORMAS REGLAMENTARIAS.”
Este contrato contó con tres adiciones y tuvo una ejecución del 100% hasta el 30 de abril de 2025.</t>
  </si>
  <si>
    <t>6.3.1.2 Elaborar e Implementar  lineamientos de mejora en las etapas de la gestión documental para garantizar la trazabilidad de la información.</t>
  </si>
  <si>
    <t>Número de documentos estratégicos de gestión documental elaborados e implementados</t>
  </si>
  <si>
    <t>Se dio cumplimiento a la meta del año 2025 con dos (2) documentos estratégicos de gestión documental (lineamientos, protocolos, programas) elaborados e implementados.
En primer lugar, la solicitud de creación de los "Lineamientos de la Gestión Documental Electrónica – Versión 1" fue atendida mediante su integración estratégica como un nuevo apartado dentro de la Política de Gestión Documental de la entidad; permitiendo así una estructura normativa más robusta y unificada.
En cuanto a los programas específicos, se informa el cumplimiento satisfactorio en la elaboración y aprobación del Programa Específico de Reprografía, el cual surtió todas las etapas de revisión ante el Comité de Gestión y Desempeño.
Cabe resaltar que los documentos mencionados fueron presentados y aprobados por el Comité Institucional de Gestión y Desempeño, según consta en el Acta No 2 (del 30 de mayo de 2025) y Acta No 4 (del 12 de septiembre de 2025). Como soporte de los hitos alcanzados, se adjuntan las evidencias de la aprobación y del registro del documento en el Sistema de Gestión Integrado (SGI) de la entidad.</t>
  </si>
  <si>
    <t>6.3.1.3 (a) Establecer mecanismos para la actualización, seguimiento y mejora de la Planificación archivística de la entidad.</t>
  </si>
  <si>
    <t>Número de instrumentos archivisticos actualizados</t>
  </si>
  <si>
    <t>Se reporta el cumplimiento de la meta de la vigencia 2025, con tres (3) instrumentos archivísticos existentes en la entidad actualizados.
La entidad logró la intervención técnica de los siguientes instrumentos archivísticos, 3 de los cuales fueron actualizados cumpliendo la meta, y uno adicional fue ajustado según los lineamientos estratégicos del año, como se evidencia a continuación:
•	Política de Gestión Documental (PGD): Actualizada e integrada con el nuevo componente de Gestión Electrónica.
•	Diagnóstico Integral de Archivos: Actualizado bajo las condiciones actuales de infraestructura.
•	Inventarios Documentales (Gestión y Central): Actualizados y depurados en coordinación con las áreas.
•	Programa de Gestión Documental (PGD - Plan): Ajustado según los lineamientos estratégicos del año.</t>
  </si>
  <si>
    <t>6.3.1.3 (b) Establecer mecanismos para la actualización, seguimiento y mejora de la Planificación archivística de la entidad.</t>
  </si>
  <si>
    <t>Número de instrumentos de Gestión de la información actualizados</t>
  </si>
  <si>
    <t>6.3.1.3 (c) Establecer mecanismos para la actualización, seguimiento y mejora de la Planificación archivística de la entidad.</t>
  </si>
  <si>
    <t>Número de auditorías realizadas relaciondas con criterios de archivo y gestión documental.</t>
  </si>
  <si>
    <t>Para la vigencia 2025, se programó y realizó una auditoría con criterios de archivo y gestión documental, la cual contó con el apoyo del Contrato N.º 158 de 2025, cuyo objeto es: “Prestación de servicios profesionales y/o de apoyo a la gestión documental y archivística de la C.R.A.”. Su objetivo fue evaluar el cumplimiento normativo, la implementación de buenas prácticas archivísticas y el estado de los instrumentos archivísticos de gestión documental en la entidad.</t>
  </si>
  <si>
    <t>6.3.1.4 (a) Fortalecer y proteger la memoria institucional para garantizar la producción, uso, acceso, y salvaguarda  del patrimonio documental de la entidad.</t>
  </si>
  <si>
    <t>Porcentaje de las Tablas de Retención Documental  actualizadas y convalidadas</t>
  </si>
  <si>
    <t>Se reporta el cumplimiento satisfactorio del 50% del hito programado para el presente año, el cual se detalla a continuación:
•	Aprobación Institucional: Actualmente, las TRD se encuentran actualizadas, revisadas y aprobadas conforme a los lineamientos institucionales y normativos vigentes.
•	Sustento Formal: Este avance quedó oficialmente consignado en el Acta No 6 del Comité de Gestión y Desempeño, cumpliendo con la metodología que exige que toda creación o actualización sea evaluada por dicha instancia.
•	Ajuste Normativo: La actualización incluyó requisitos normativos de los años 2022, 2023 y 2024 que implicaban modificaciones estructurales en el proceso.</t>
  </si>
  <si>
    <t>6.3.1.4 (b) Fortalecer y proteger la memoria institucional para garantizar la producción, uso, acceso, y salvaguarda  del patrimonio documental de la entidad.</t>
  </si>
  <si>
    <t>Porcentaje de documentos msionales y sensibles digitalizados</t>
  </si>
  <si>
    <t>Se dio cumplimiento a la meta del 30% de los de los documentos misionales y sensibles digitalizados establecida para la vigencia 2025. Al igual que el rezago de 2024. La información completa se encuentra en el informe de gestión en la respectiva acción estrategica.
A la fecha de este informe, se reporta el cumplimiento alcanzando de 1.250.000 imágenes digitalizadas. Este resultado permite cubrir el 100% de la meta proyectada para el año 2025 (30%) y el saldo pendiente de la vigencia anterior (2024).
La meta fue alcanzada con la ejecución del Contrato N.º 273 de 2025, logrando la "cantidad de folios" digitalizados antes señalada. Asimismo, la entidad busca asegurara la "calidad archivística", de los documentos digitalizados, en cumplimiento de las características técnicas de integridad exigidas por el Acuerdo 001 de 2024 y la Ley 594 de 2000.
Al cierre del presente informe se encuentra finalizada la fase de captura y digitalización de los documentos, y se vienen adelantando las siguientes acciones de control:
•	Revisión Aleatoria de Requisitos: Se está realizando un muestreo técnico exhaustivo sobre el total de las imágenes para verificar el cumplimiento de los estándares de calidad archivística.
•	Verificación de Criterios Técnicos: Se está validando que cada expediente cumpla con el nombrado correcto de series y subseries según las TRD, así como con la integridad de los metadatos.</t>
  </si>
  <si>
    <t>PROGRAMA 6.4: COMUNICACIONES</t>
  </si>
  <si>
    <t>Proyecto 6.4.1 Gestión estratégica de las comunicaciones</t>
  </si>
  <si>
    <t>6.4.1.1. Diseñar e implementar estrategias de comunicación para fortalecer la imagen institucional de la CRA.</t>
  </si>
  <si>
    <t>Número de estrategias de comunicación implementadas</t>
  </si>
  <si>
    <t>A corte 31 de diciembre de 2025, la meta fue alcanzada con la ejecución de (5) estrategias de comunicación implementadas, que lograron fortalecer de la imagen institucional de la entidad
Las cinco estrategias de comunicación implementadas en la Corporación son las siguientes: 
1.	Estrategia de divulgación y visibilización de acciones institucionales (cubrimientos, publicaciones, acompañamientos, producción de contenidos audiovisuales).
2.	Estrategia de Social media (crecimiento en redes sociales, engagement).
3.	Estrategia de Promoción de Imagen institucional.
4.	Estrategia de relacionamiento institucional: alianzas corporativas.
5.	Estrategia de fortalecimiento de la comunicación interna (endomarketing).</t>
  </si>
  <si>
    <t>PROGRAMA 6.5: GESTIÓN DE PROYECTOS ESTRATÉGICOS PARA LA CONSERVACIÓN Y SOSTENIBILIDAD AMBIENTAL</t>
  </si>
  <si>
    <t>Proyecto 6.5.1. Fortalecimiento del Banco de Proyectos para la preservación del patrimonio ambiental</t>
  </si>
  <si>
    <t xml:space="preserve">6.5.1.1. Gestionar recursos regionales, nacionales o internacionales para el desarrollo de proyectos estratégicos encaminados a la conservación y sostenibilidad ambiental del Departamento del Atlántico. </t>
  </si>
  <si>
    <t>Número de proyectos gestionados con recursos externos</t>
  </si>
  <si>
    <t>Durante la vigencia 2025, la Corporación Autónoma Regional del Atlántico participó en diferentes convocatorias, con la presentación de tres (3) proyectos institucionales con el propósito de obtener recursos del orden nacional y/o internacional como se puede apreciar:
“Restauración Ecológica y Resiliencia Climática en la Ciénaga de Luruaco”
Resiliencia Pesquera y Restauración Sostenible de Ecosistemas Marino-Costeros en Atlántico.
Conservación y Protección de Arrecifes en Atlántico con Enfoque Integral y Participativo.</t>
  </si>
  <si>
    <t>6.5.1.2. Apoyar la formulación y evaluación de proyectos estratégicos para la conservación y sostenibilidad ambiental del Departamento del Atlántico</t>
  </si>
  <si>
    <t>Porcentaje de proyectos estratégicos evaluados</t>
  </si>
  <si>
    <t>En la vigencia 2025, del 01 de enero al 31 de diciembre, el proceso de Gestión de Proyectos Ambientales (Banco de proyectos) recibió la radicación de once (11) proyectos ambientales, presentados a la Corporación Autónoma Regional del Atlántico por diferentes entes territoriales “Alcaldías municipales”, Fundaciones, Organizaciones y comunidad, siendo revisados y evaluados en su totalidad ,generando los diferentes conceptos de viabilidad técnica, ambiental y financiera, cumpliendo con el 100% de la meta programada para dicha vigencia.</t>
  </si>
  <si>
    <t>6.5.1.3. Analizar la viabilidad de proyectos institucionales suscritos por la Corporación para garantizar el cumplimiento del Plan de Acción Institucional vigente</t>
  </si>
  <si>
    <t>Porcentaje de certificados de viabilidad emitidos</t>
  </si>
  <si>
    <t>Con el análisis y expedición de viabilidad a cincuenta y dos (52) proyectos institucionales para la contratación de personas jurídicas que garanticen el cumplimiento parcial o total de las metas del PAI 2024-2027 “Por un Ambiente sin Fronteras”, se dio cumplimiento al 100% de la meta. 
Es importante precisar que el indicador tiene cumplimiento por demanda, para este caso, se recibieron cincuenta y dos (52) solicitudes internas de proyectos institucionales los cuales fueron atendidos en su totalidad.</t>
  </si>
  <si>
    <t>PROGRAMA 6.6: SOPORTE JURÍDICO</t>
  </si>
  <si>
    <t>Proyecto 6.6.1 Defensa Jurídica</t>
  </si>
  <si>
    <t>6.6.1.1. Atender los trámites jurídico procesales de la Entidad.</t>
  </si>
  <si>
    <t>Porcentaje de  trámites procesales atendidos</t>
  </si>
  <si>
    <t>Durante la vigencia 2025, se cumplió la meta de atención del del cien por ciento (100%) de las actuaciones judiciales notificadas a la Oficina Asesora Jurídica de la entidad.
Los trámites fueron asumidos por el equipo jurídico de la Corporación, conformado por personal de planta con funciones asignadas en materia de defensa judicial (un Profesional Especializado y un Profesional Universitario), así como por personal de apoyo vinculado mediante contratos de prestación de servicios profesionales, cuyo objeto consiste en la “prestación de servicios profesionales para asesoría, acompañamiento, defensa y/o representación de los intereses legales de la corporación autónoma regional del atlántico, ante cualquier instancia administrativa, judicial o extrajudicial.”
Este resultado demuestra el compromiso de la Entidad con la atención oportuna y eficiente de los procesos judiciales, y con la defensa técnica de los intereses institucionales.</t>
  </si>
  <si>
    <t>6.6.1.2. Formular e implementar la política de prevención del daño antijurídico.</t>
  </si>
  <si>
    <t>Numero de políticas de prevención de daño antijurídico formulada e implementada.</t>
  </si>
  <si>
    <t>Durante la vigencia 2025 se cumplió la meta programada del cien por ciento (100%) de la política de prevención del daño antijurídico formulada e implementada.
La Política de Prevención del Daño Antijurídico constituye la respuesta institucional frente a los problemas asociados a actos, hechos y operaciones administrativas que generan litigiosidad, en tanto promueve una actuación de carácter transversal al interior de las entidades, orientada a la reducción de los eventos generadores de daño antijurídico y, en consecuencia, de las demandas y condenas en contra del Estado.
Al cierre de la presente vigencia 2025, se dio cumplimiento a la totalidad de las acciones previstas en el plan de acción del año.
Es importante resaltar que, durante el segundo semestre del año tanto la Subdirección de Gestión Ambiental como la Oficina Asesora Jurídica - PQRS tuvieron a su cargo la implementación del segundo mecanismo contemplado en el plan de acción de la Política de Prevención del Daño Antijurídico 2024-2025.</t>
  </si>
  <si>
    <t>Proyecto 6.6.2 Atención de PQRS</t>
  </si>
  <si>
    <t>6.6.2.1. Atender las PQRS radicadas en la Entidad.</t>
  </si>
  <si>
    <t>Porcentaje de Atención de las PQRS</t>
  </si>
  <si>
    <t xml:space="preserve">Al cierre de la vigencia 2025 la meta llego a un cumplimiento del 97.43% de atención de las PQRS radicadas en la Entidad, cuyo detalle se describe a continuación.
El objetivo de la Oficina Asesora Jurídica en materia de PQRS es garantizar el adecuado desarrollo del trámite de los derechos de petición que le sean asignados por la Dirección General, ya sea para:
•	Dar respuesta directa, oportuna y de fondo, cuando se trate de asuntos de competencia exclusiva de la Oficina Asesora Jurídica; o
•	Solicitar, mediante comunicación interna, la información necesaria a las demás oficinas y dependencias de la entidad, cuando los asuntos sean de su competencia exclusiva. En estos casos, la responsabilidad de suministrar los insumos requeridos para la elaboración de la respuesta recae en el área o áreas asignadas. En la solicitud se indicará expresamente el término legal máximo para recibir el insumo, con el fin de garantizar su conocimiento y cumplimiento. Una vez recibido el insumo correspondiente, la Oficina Asesora Jurídica procederá a consolidar la información y proyectar el documento de respuesta al usuario. </t>
  </si>
  <si>
    <t>Proyecto 6.6.3 Contratación Estatal</t>
  </si>
  <si>
    <t>6.6.3.1. Atender los trámites procesales contractuales requeridos por la Dirección de la Entidad</t>
  </si>
  <si>
    <t>Porcentaje de Atención a las necesidades contractuales de cada dependencia.</t>
  </si>
  <si>
    <t>En el periodo del 01 de enero al 31 de diciembre del año 2025, se recibió la solicitud de 351 trámites procesales contractuales requeridos por la Dirección de la entidad, los cuales fueron atendidos y tramitados conforme al reglamento interno y al Estatuto de Contratación Estatal, hasta el perfeccionamiento de los 351 contratos.</t>
  </si>
  <si>
    <t>PROGRAMA 6.7: SISTEMA DE GESTIÓN INTEGRADO</t>
  </si>
  <si>
    <t>Proyecto 6.7.1 Sistemas de Gestión Integrados</t>
  </si>
  <si>
    <t xml:space="preserve">6.7.1.1. (a) Mantener la certificación del Sistema de Gestión Integral basado en las normas NTC ISO 9001:2015, NTC ISO 45001:2018, NTC ISO 14001:2015 y el Modelo Integrado de Planeación y Gestión </t>
  </si>
  <si>
    <t>Número de certificaciones mantenidas</t>
  </si>
  <si>
    <t xml:space="preserve">Se dio cumplimiento a la meta en la vigencia 2025 de mantener una (1) certificación ISO 9001:2015 del Sistema de gestión de calidad, mediante la ejecución de la auditoría de seguimiento realizada por el ente certificador ICONTEC en noviembre de 2025.
Es importante indicar que, el cronograma de trabajo del Sistema de Gestión de la Calidad cerró con una implementación del 100% de las actividades planificadas. Dentro de las actividades se resalta la creación de tres (3) nuevos procesos que responden a creación de nuevas dependencias y la necesidad de normalizar sus operaciones. </t>
  </si>
  <si>
    <t xml:space="preserve">6.7.1.1. (b) Mantener la certificación del Sistema de Gestión Integral basado en las normas NTC ISO 9001:2015, NTC ISO 45001:2018, NTC ISO 14001:2015 y el Modelo Integrado de Planeación y Gestión </t>
  </si>
  <si>
    <t>La meta de mantener la certificación ISO 45001:2018 del Sistema de Gestión de Seguridad y Salud en el Trabajo (SG-SST) fue alcanzada, tal como se evidenció en la meta anterior, mediante la ejecución de la auditoría de seguimiento realizada por el ente certificador ICONTEC en noviembre de 2025.</t>
  </si>
  <si>
    <t xml:space="preserve">6.7.1.1. (c) Mantener la certificación del Sistema de Gestión Integral basado en las normas NTC ISO 9001:2015, NTC ISO 45001:2018, NTC ISO 14001:2015 y el Modelo Integrado de Planeación y Gestión </t>
  </si>
  <si>
    <t>Se cumplió la meta de mantener la certificación ISO 14001:2015 del Sistema de Gestión Ambiental, obtenida a través de la auditoría de seguimiento realizada por el ente certificador ICONTEC en noviembre de 2025, como se señaló previamente.
El Sistema de Gestión Ambiental de la Corporación Autónoma Regional del Atlántico opera de acuerdo al Cronograma de Trabajo, el cual reporta un avance del 100% de avance.</t>
  </si>
  <si>
    <t xml:space="preserve">6.7.1.1. (d) Mantener la certificación del Sistema de Gestión Integral basado en las normas NTC ISO 9001:2015, NTC ISO 45001:2018, NTC ISO 14001:2015 y el Modelo Integrado de Planeación y Gestión </t>
  </si>
  <si>
    <t xml:space="preserve">Porcentaje de ejecución del cronograma de operación del Modelo Integrado de Planeación y Gestión </t>
  </si>
  <si>
    <t>A corte 31 de diciembre de 2025, la meta del 100% de ejecución del cronograma de operación del Modelo Integrado de Planeación y Gestión - MIPG fue alcanzada. Su objetivo fue operativizar las dimensiones que conforman el modelo.
El Modelo Integrado de Planeación y Gestión  MIPG de la Corporación Autónoma Regional del Atlántico opera a traves del Comité Institucional de Gestión y Desemepeño, organismo asesor de la alta dirección en lo relacionado al mejoramiento del desempeño institucional.</t>
  </si>
  <si>
    <t>6.7.1.2. (a) Implementar el Sistema de Gestión Basura Cero en la sedes administrativas de la CRA</t>
  </si>
  <si>
    <t>Porcentaje de implementación del Sistema de Gestión Basura Cero en la sedes administrativas de la CRA</t>
  </si>
  <si>
    <t>A corte 31 de diciembre de 2025, la meta del 100% de ejecución del cronograma de operación del Modelo Integrado de Planeación y Gestión - MIPG fue alcanzada. Su objetivo fue operativizar las dimensiones que conforman el modelo.
El Modelo Integrado de Planeación y Gestión  MIPG de la Corporación Autónoma Regional del Atlántico opera a traves del Comité Institucional de Gestión y Desemepeño, organismo asesor de la alta dirección en lo relacionado al mejoramiento del desempeño institucional. La información completa se encuentra registrada en el informe de gestión en la respectiva acción estrategica.</t>
  </si>
  <si>
    <t>6.7.1.2. (b) Implementar el Sistema de Gestión Basura Cero en la sedes administrativas de la CRA</t>
  </si>
  <si>
    <t>Número de certificaciones obtenidas</t>
  </si>
  <si>
    <t>6.7.1.3 (a) Implementar el Sistema de Gestión de Seguridad de la Información bajo la Norma ISO 27001:2022</t>
  </si>
  <si>
    <t>Porcentaje de ejecución del cronograma de implementación del sistema de Gestión de la Seguridad de la Información</t>
  </si>
  <si>
    <t>La implementación del Sistema de Gestión de la Seguridad de la Información bajo la Norma ISO 27001:2022, obedece a un cronograma diseñado con base en los resultados del diagnóstico elaborado en la vigencia 2024
La ejecución de las actividades es liderada por el grupo implementador, el cual está constituido por funcionaros de la Oficina Asesora de Ciencia, Tecnología e Innovación y Secretaría General en sus grupos de Gestión Documental y Coordinación del SGI.</t>
  </si>
  <si>
    <t>6.7.1.3 (b) Implementar el Sistema de Gestión de Seguridad de la Información bajo la Norma ISO 27001:2022</t>
  </si>
  <si>
    <t>Número de preauditorias al Sistema de Gestión de Seguridad de la información realizadas</t>
  </si>
  <si>
    <t>Al cierre de la vigencia 2025 se dio cumplimiento a la meta con la ejecución una Pre auditoria al Sistema de Gestión de Seguridad de la Información bajo la Norma ISO 27001:2022.
Por medio del Contrato 325 de 2025 con el INSTITUTO COLOMBIANO DE NORMAS TÉCNICAS Y CERTIFICACIONES – ICONTEC y cuyo objeto es Prestación de servicios profesionales a la corporación autónoma regional del atlántico, en la realización de una preauditoria en la norma ntc ISO 27001:2022 y una auditoria al sistema de gestión integrado se realizó la preauditoria al Sistema de Gestión de Seguridad de la Información bajo la norma ISO 27001:2022.
La preauditoria tuvo lugar los días 5, 6 y 7 de noviembre del 2025 de manera virtual y fue liderada por el ingeniero Juan Carlos Inestroza, auditor asignado por el ICONTEC.
Como resultado de la preauditoria que obtuvo un informe con las observaciones, oportunidades de mejora y no conformidades identificadas por el auditor durante el ejercicio de revisión a los componentes del sistema de gestión de seguridad de la información que la entidad ha implementado hasta el momento.</t>
  </si>
  <si>
    <t>6.7.1.3 (c) Implementar el Sistema de Gestión de Seguridad de la Información bajo la Norma ISO 27001:2022</t>
  </si>
  <si>
    <t>Proyecto 6.7.2 Gestión de la Seguridad y Salud en el Trabajo</t>
  </si>
  <si>
    <t xml:space="preserve">6.7.2.1 (a) Implementar programas y acciones que contribuyan a la consolidación de la cultura del autocuidado y autorregulación, la identificación e intervención de los peligros y riesgos, el cumplimiento de los requisitos legales aplicables en seguridad y salud en el trabajo </t>
  </si>
  <si>
    <t xml:space="preserve">Porcentaje de implementación de las acciones del Plan de Trabajo de SST </t>
  </si>
  <si>
    <t xml:space="preserve">La meta establecida para la vigencia 2025 fue alcanzada y superada con un cumplimiento del 92% de implementación de las acciones del Plan de Trabajo de SST encaminadas a controlar y reducir la accidentalidad. La información completa se encuentra registrada en el informe de gestión en la respectiva acción estrategica.
En el marco del compromiso institucional con la promoción del bienestar laboral, la prevención de riesgos en todos los niveles de la organización, y el fortalecimiento de la gestión en Seguridad y Salud en el Trabajo, se logró superar la meta al cierre de la vigencia 2025. </t>
  </si>
  <si>
    <t xml:space="preserve">6.7.2.1 (b) Implementar programas y acciones que contribuyan a la consolidación de la cultura del autocuidado y autorregulación, la identificación e intervención de los peligros y riesgos, el cumplimiento de los requisitos legales aplicables en seguridad y salud en el trabajo </t>
  </si>
  <si>
    <t xml:space="preserve">Porcentaje de cumplimiento de  estandares mínimos que garanticen la eficacia del SG-SST </t>
  </si>
  <si>
    <t xml:space="preserve">A corte 31 de diciembre de 2025, se alcanzó el cien por ciento (100%) de la meta establecida, con en el cumplimiento de los estándares mínimos por ley, que garantizan la eficacia del SG-SST.
En este sentido, en el mes de diciembre se realizó el cargue en la plataforma ARL Colmena Seguros de la autoevaluación de los estándares mínimos para la vigencia 2025 y posteriormente en la del Ministerio de Trabajo, de acuerdo con lo establecido en la Resolución 0312 de 2019, con un cumplimiento del 100%. 
</t>
  </si>
  <si>
    <t xml:space="preserve">6.7.2.1 (c) Implementar programas y acciones que contribuyan a la consolidación de la cultura del autocuidado y autorregulación, la identificación e intervención de los peligros y riesgos, el cumplimiento de los requisitos legales aplicables en seguridad y salud en el trabajo </t>
  </si>
  <si>
    <t>Porcentaje de cumplimiento anual de formaciones SST</t>
  </si>
  <si>
    <t>Para la vigencia 2025 el plan anual de capacitación en seguridad y salud en el trabajo logró un 92% de ejecución de las actividades, superando la meta establecida para el presente año.
En el transcurso de la vigencia 2025, el área de Seguridad y Salud en el Trabajo adscrita la Oficina de Gestión Humana desarrolló un total de 73 actividades formativas, enfocadas en los peligros prioritarios como locativos, de tránsito, osteomusculares, y psicosociales.</t>
  </si>
  <si>
    <t xml:space="preserve">6.7.2.1 (d) Implementar programas y acciones que contribuyan a la consolidación de la cultura del autocuidado y autorregulación, la identificación e intervención de los peligros y riesgos, el cumplimiento de los requisitos legales aplicables en seguridad y salud en el trabajo </t>
  </si>
  <si>
    <t>Porcentaje de cumplimiento anual de las actividades planificadas para la preparación y respuesta ante emergencia</t>
  </si>
  <si>
    <t>En la vigencia 2025 se alcanzó la meta del noventa por ciento (90%) de cumplimiento del Plan de Emergencias, que permite preservar la integridad de las personas e instalaciones ante la posible materialización de una emergencia, garantizando la disponibilidad de los recursos y competencias del personal.
Para el fortalecimiento de las competencias del personal brigadista, se han adelantado actividades de capacitación relacionadas con técnicas avanzadas de primeros auxilios y metodologías para la prevención y control de incendios, la cual fue certificada por ARL Colmena mediante el prestador de servicios que para el caso fue el cuerpo de Bomberos.  
Se contrataron los servicios de mantenimiento y recarga de extintores y demás pruebas requeridas para estos equipos, también la adquisición de elementos para los botiquines de emergencias y extintes y nuevos botiquines para dotar los nuevos vehículos y al grupo CRIA.</t>
  </si>
  <si>
    <t>6.7.2.2. Promover la salud laboral de los funcionarios y contratistas durante el desarrollo de sus actividades administrativas y operativas.</t>
  </si>
  <si>
    <t>Procentaje de Cumplimiento del cronograma actividades del programa promoción y prevención</t>
  </si>
  <si>
    <t>A corte 31 de diciembre de 2025 la meta presenta un cumplimiento del 90%, acorde con la ejecución de las acciones programadas para la vigencia.
Con el fin de promover la salud de todos los colaboradores de la Corporación, durante la vigencia 2025 se actualizó el programa de estilos de vida saludable dando alcance a lo establecido en el Decreto 1843 de abril de 2025 y alineado a la ejecución e implementación de dicho programa se definió el plan de trabajo.</t>
  </si>
  <si>
    <t>6.7.2.3. Monitorear las condiciones ambientales y de seguridad y salud en el trabajo, de los proyectos y obras desarrollados por la Corporación</t>
  </si>
  <si>
    <t xml:space="preserve">Número de Planes de Trabajo estructurados para el monitoreo de las condiciones ambientales y de seguridad y salud en el trabajo, de los proyectos y obras desarrollados por la Corporación </t>
  </si>
  <si>
    <t>Para la vigencia 2025 se estructuró y ejecutó el Plan de Monitoreo de las Condiciones Ambientales y de Seguridad y Salud en el Trabajo – SSTA, alcanzando el cumplimiento de la meta del año 2025, para las obras y proyectos que se listan a continuación:
493 DE 2024: REALIZAR LA LIMPIEZA Y RECUPERACIÓN DE LOS CAÑOS Y LAS ESTRUCTURAS HIDRÁULICAS DEL PROYECTO DE REGULACIÓN Y MANEJO INTEGRAL DEL SISTEMA DE CIENAGAS DE LOS MUNICIPIOS DE SABANAGRANDE SANTO TOMAS Y PALMAR DE VARELA EN CUMPLIMIENTO DE LA LICENCIA AMBIENTAL OTORGADA MEDIENTE RESOLUCION No 293 DEL 2017.
492 de 2024: REALIZAR LA LIMPIEZA Y RECUPERACIÓN AMBIENTAL DE LOS CAÑOS Y/O ARROYOS AFLUENTES A LA LAGUNA DE LURUACO Y AL EMBALSE EL GUÁJARO EN EL DEPARTAMENTO DEL ATLÁNTICO.
281 de 2025: REALIZAR LAS ACCIONES PARA GARANTIZAR LA HIDRODINÁMICA EN LA CIENAGA DEL TOTUMO Y LA LIMPIEZA Y RECUPERACIÓN AMBIENTAL DEL ARROYO LEÓN EN EL DEPARTAMENTO DEL ATLÁNTICO
237 de 2021: CONSTRUCCION DE ESTACION DE BOMBEO Y PLANTA DE TRATAMIENTO DE AGUAS RESIDUALES PARA EL MUNICIPIO DE JUAN DE ACOSTA Y EL SECTOR DE EL VAIVEN EN EL DEPARTAMENTO DEL ATLÁNTICO</t>
  </si>
  <si>
    <t>Proyecto 6.7.3. Gestión del Riesgo Vial</t>
  </si>
  <si>
    <t>6.7.3.1 Gestión del riesgo Vial desde el factor humano (PESV) que garanticen la ejecución de programas de gestión de riesgo crítico y factores de desempeño:</t>
  </si>
  <si>
    <t>Número de Planes de trabajo anual y capacitación del Plan estratégico de seguridad vial (PESV)  estructurado</t>
  </si>
  <si>
    <t>Al cierre de la vigencia 2025 se alcanzó el cumplimiento de la meta al lograr un Plan de Trabajo anual y capacitación del Plan Estratégico de Seguridad Vial (PESV) estructurado, para la gestión del riesgo vial desde el factor humano, y se logró la ejecución de programas de gestión de riesgo crítico y factores de desempeño.
Lo anterior con el apoyo del contrato No. 0128 del 20 de febrero de 2025, el contrato 0235 del 26 de marzo de 2025 y la profesional especializada código 2028 grado 20 (E) de gestión humana, coordinadora del PESV como recurso humano interno calificado.</t>
  </si>
  <si>
    <t xml:space="preserve">6.7.3.2 Gestión del riesgo Vial desde los controles operativos (PESV). 
</t>
  </si>
  <si>
    <t>Número de Informes de indicadores y reporte de autogestión del Plan estratégico de seguridad vial (PESV) elaborados</t>
  </si>
  <si>
    <t>A corte 31 de diciembre de 2025 se logró el cumplimiento del 100% del meta correspondiente al informe de indicadores y reporte de autogestión del Plan estratégico de seguridad vial (PESV), elaborado conforme a lo establecido en la Resolución 20223040040595 de 2022 o norma vigente.
El cumplimiento antes señalado se soporta en los cuatros (4) informes de indicadores correspondientes al año y a la construcción de los insumos para el reporte de autogestión del PESV correspondiente, el cual por requisito legal se consolida para su presentación antes del 31 de enero de la vigencia siguiente. 
En este orden de ideas, fue remitido por parte de la entidad a Ministerio del Trabajo Igualmente se presenta una imagen del informe del Reporte de autogestión del Plan estratégico de seguridad vial (PESV) elaborado, conforme a la norma vigente.
Las acciones realizadas y sus evidencias, se encuentran como información documentada disponible en la entidad, bajo la custodia del profesional especializado designado como Líder del PESV.</t>
  </si>
  <si>
    <t>PROGRAMA 6.8: GESTIÓN DE LA INFRAESTRUCTURA</t>
  </si>
  <si>
    <t>Proyecto 6.8.1 Eficiencia Energética</t>
  </si>
  <si>
    <t>6.8.1.1. (a) Implementar el programa de eficiencia energética en las sedes de la entidad  con el fin de caracterizar los usos finales y consumo de energía.</t>
  </si>
  <si>
    <t>Numero de auditorias energéticas realizadas</t>
  </si>
  <si>
    <t>6.8.1.1. (b) Implementar el programa de eficiencia energética en las sedes de la entidad  con el fin de caracterizar los usos finales y consumo de energía.</t>
  </si>
  <si>
    <t>Porcentaje de implementación del programa de eficiencia energética</t>
  </si>
  <si>
    <t>La meta del Cuarenta por ciento (40%) del programa de eficiencia energética basado en los resultados de las auditorías energéticas realizadas e Implementado fue alcanzada. 
Lo anterior se evidencia mediante el monitoreo realizado al consumo de energía eléctrica en las sedes de la entidad, la renovación de equipos de climatización y el mantenimiento del sistema de distribución de energía eléctrica.
Con base en los resultados de la auditoria energética ejecutada en la vigencia 2024 se establecieron los siguientes valores para el monitoreo de consumo durante la vigencia 2025:
-	Línea base: Consumo total anual de 183.864 KW/h.
-	Meta para la vigencia 2025: Consumo total anual 170.325 KW/h.
El consumo total de la vigencia 2025 para la sede principal, sede 2 y vivero Armando Dugand Gnecco ubicado en Repelón-Atlántico fue de 164.220	KW/h, lo que representó un cumplimiento de 103,6% frente a la meta establecida para la presente vigencia, así como la materialización de un potencial de ahorro del 10,7% sobre a la línea base del programa.</t>
  </si>
  <si>
    <t>Proyecto 6.8.2 Adquisición y renovación de bienes y equipos</t>
  </si>
  <si>
    <t xml:space="preserve">6.8.2.1. (a) Adquirir o renovar los bienes y equipos necesarios para la operación de lo procesos de la CRA </t>
  </si>
  <si>
    <t>Porcentaje de atención de las necesidades del mobiliario  requerido para la operación de la CRA</t>
  </si>
  <si>
    <t>Se dio cumplimiento a la meta de la vigencia 2025, con un cincuenta por ciento (50%) de las necesidades de mobiliario requerido para la operación de los procesos de la C.R.A. atendidas, a través de las siguientes contrataciones lideradas por la Secretaria General de la C.R.A: 1.	REMODELACIÓN DE LAS ÁREAS DE LA OFICINA ASESORA JURÍDICA Y OFICINA DE GESTIÓN DOCUMENTAL.
2.	ADQUISICIÓN DE SILLAS ERGONÓMICAS</t>
  </si>
  <si>
    <t xml:space="preserve">6.8.2.1. (b) Adquirir o renovar los bienes y equipos necesarios para la operación de lo procesos de la CRA </t>
  </si>
  <si>
    <t>Porcentaje del parque automotor renovado</t>
  </si>
  <si>
    <t>Proyecto 6.8.3 Mantenimiento de bienes muebles e inmuebles</t>
  </si>
  <si>
    <t>6.8.3.1. (a) Garantizar las condiciones adecuadas de los bienes muebles e inmuebles de la CRA necesarias para el funcionamiento de sus procesos.</t>
  </si>
  <si>
    <t>Porcentaje de implementación del Plan de Mantenimiento de bienes muebles e inmuebles de la CRA</t>
  </si>
  <si>
    <t>Para el cumplimiento de esta meta la C.R.A realizaron las siguientes gestiones:
1.Suscribió las órdenes de compra número OC-130772, 134057 y 136972 del 2024 con las cuales se adquirieron siete (7) vehículos de las siguientes referencias:
-OC-130772-2024- Con la empresa COMAGRO por valor de $519.169.606,50. En esta orden de compra se adquirieron tres (3) camionetas Ford Ranger modelo 2024 4x4.
-OC-134057-2024- Con la empresa ALBORAUTOS por valor de $304.241.979 en la cual se adquirió una (1) camioneta modelo 2024 Toyota 4RUNNER.
-OC-136972-2024 - Con la empresa JORGE_CORTES_Y_CIA por valor de $202.161.355,5 en la cual se adquirieron tres (3) vehículos tipo automóvil modelo 2025 de la marca KIA y de la línea Picanto.
2.Se suscribió  el contrato 0377 de 2024 con el Banco Popular, con el objeto de “CONTRATAR LOS SERVICIOS DE UN INTERMEDIARIO IDONEO PARA LA ENAJENACION ONEROSA DE BIENES MUEBLES Y ENSERES DE LA CORPORACION AUTONOMA REGIONAL DEL ATLÁNTICO MEDIANTE LA MODALIDAD MARTILLO”, con la intermediación del contratista, se logró la enajenación de los cuatro (4) antiguos vehículos que integraban el parque automotor de la C.R.A por un valor de $175.559.911, valor que representó un ingreso para la Corporación.
Con la adquisición de los siete (7) nuevos vehículos y la venta del antiguo parque automotor se dio cumplimiento a esta meta en un cien por ciento (100%).</t>
  </si>
  <si>
    <t>6.8.3.1. (b) Garantizar las condiciones adecuadas de los bienes muebles e inmuebles de la CRA necesarias para el funcionamiento de sus procesos.</t>
  </si>
  <si>
    <t>Porcentaje de implementación del cronograma de mantenimiento del parque automotor</t>
  </si>
  <si>
    <t xml:space="preserve">Durante la vigencia 2025, estuvieron en adecuado estado de funcionamiento los vehículos adquiridos con las respectivas garantías de servicio, los cuales se detallan a continuación:
-Camionetas Ford (3) 
-Camioneta Toyota (1)
-Kia Picanto (3)
Durante la vigencia 2025 se realizó el mantenimiento preventivo de las 3 camionetas Ford Ranger, correspondiente a los 10 mil km y 20 mil km para los vehículos de placas OCL 511, 512 y 513; adicionalmente mantenimiento de los 30000 km a la camioneta de placa OCL 513. </t>
  </si>
  <si>
    <t>PROGRAMA 6.9: INSTRUMENTOS ECONÓMICOS, FINANCIEROS Y TRIBUTARIOS</t>
  </si>
  <si>
    <t>Proyecto 6.9.1 Instrumentos Económicos, Financieros y Tributarios</t>
  </si>
  <si>
    <t>6.9.1.1 Realizar el reporte de la implementación de los Instrumentos Económicos, Financieros y Tributarios validados por el Ministerio de Ambiente y Desarrollo Sostenible -MADS por parte de la CRA</t>
  </si>
  <si>
    <t>Número de Reportes  de los Instrumentos Económicos, Financieros y Tributarios validados por el MADS</t>
  </si>
  <si>
    <t>Se llevó a cabo un reporte correspondiente a la tasa retributiva con fecha (11) de junio de 2025 por lo cual este indicador se da por cumplido al cierre del primer semestre de la vigencia.</t>
  </si>
  <si>
    <t>Reporte  de los Instrumentos Económicos, Financieros y Tributarios validados por el MADS</t>
  </si>
  <si>
    <t>6.9.1.2 Gestión y seguimiento al recaudo  proveniente de los ingresos  Económicos, Financieros y Tributarios de la CRA</t>
  </si>
  <si>
    <t>Porcentaje  del recaudo  proveniente de los Ingresos  Económicos, Financieros y Tributarios de la CRA</t>
  </si>
  <si>
    <t xml:space="preserve">Al cierre de la vigencia 2025, la C.R.A. realizó el 97,8% del recaudo proveniente de los Ingresos Económicos, Financieros y Tributarios de la entidad.
La ejecución presupuestal de ingresos nos indica un recaudo total por la suma de $177.687.477.077; lo cual representa un 97,8% de los recursos presupuestados para la vigencia 2025, del total presupuestado $181.377.606.815. </t>
  </si>
  <si>
    <t>6.9.1.3 Saneamiento del Déficit Fiscal de vigencias anteriores</t>
  </si>
  <si>
    <t xml:space="preserve">Porcentaje de saneamiento del déficit fiscal de vigencias anteriores </t>
  </si>
  <si>
    <t>Ajuste de meta fisica: Acuerdo 00034 del 02 de diciembre de 2025 del Consejo Directivo de la C.R.A.
 “Por medio del cual se aprueban los ajustes en las metas e indicadores de algunas acciones estratégicas del Plan de Acción Institucional (Por un Ambiente Sin Fronteras 2024 – 2027)”</t>
  </si>
  <si>
    <t>(18) TOTAL METAS FISICAS Y FINANCIERAS*</t>
  </si>
  <si>
    <t>En la vigencia 2.025 se programaron 267 y se atendieron 261 correspondiente al 98%</t>
  </si>
  <si>
    <t>En la vigencia 2.025 se programaron 171 y se atendieron 153 correspondiente al 89%</t>
  </si>
  <si>
    <t>En la vigencia 2.025 se programaron 208 y se atendieron 169 correspondiente al 81%</t>
  </si>
  <si>
    <t>En la vigencia 2.025 se programaron 82 y se atendieron 33 correspondiente al 40%</t>
  </si>
  <si>
    <t>En la vigencia 2.025 se programaron 77 y se atendieron 65 correspondiente al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</si>
</sst>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4" formatCode="_-&quot;$&quot;\ * #,##0.00_-;\-&quot;$&quot;\ * #,##0.00_-;_-&quot;$&quot;\ * &quot;-&quot;??_-;_-@_-"/>
    <numFmt numFmtId="43" formatCode="_-* #,##0.00_-;\-* #,##0.00_-;_-* &quot;-&quot;??_-;_-@_-"/>
    <numFmt numFmtId="164" formatCode="0.0"/>
    <numFmt numFmtId="165" formatCode="_(* #,##0_);_(* \(#,##0\);_(* &quot;-&quot;??_);_(@_)"/>
    <numFmt numFmtId="166" formatCode="0.0%"/>
    <numFmt numFmtId="167" formatCode="[$$-240A]\ #,##0"/>
    <numFmt numFmtId="168" formatCode="&quot;$&quot;\ #,##0"/>
    <numFmt numFmtId="169" formatCode="_-&quot;$&quot;\ * #,##0_-;\-&quot;$&quot;\ * #,##0_-;_-&quot;$&quot;\ * &quot;-&quot;??_-;_-@_-"/>
    <numFmt numFmtId="170" formatCode="_-&quot;$&quot;\ * #,##0.00_-;\-&quot;$&quot;\ * #,##0.00_-;_-&quot;$&quot;\ * &quot;-&quot;??_-;_-@"/>
    <numFmt numFmtId="171" formatCode="[$$-240A]\ #,##0.00"/>
    <numFmt numFmtId="172" formatCode="_-* #,##0_-;\-* #,##0_-;_-* &quot;-&quot;??_-;_-@"/>
    <numFmt numFmtId="173" formatCode="#,##0.00\ &quot;€&quot;"/>
    <numFmt numFmtId="174" formatCode="#,##0.000"/>
    <numFmt numFmtId="175" formatCode="#,##0_ ;\-#,##0\ "/>
  </numFmts>
  <fonts count="104">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sz val="10"/>
      <color theme="1"/>
      <name val="Arial Narrow"/>
      <family val="2"/>
    </font>
    <font>
      <b/>
      <sz val="10"/>
      <color theme="1"/>
      <name val="Arial Narrow"/>
      <family val="2"/>
    </font>
    <font>
      <sz val="10"/>
      <color rgb="FF000000"/>
      <name val="Arial Narrow"/>
      <family val="2"/>
    </font>
    <font>
      <sz val="8"/>
      <name val="Calibri"/>
      <family val="2"/>
      <scheme val="minor"/>
    </font>
    <font>
      <sz val="9"/>
      <color indexed="81"/>
      <name val="Tahoma"/>
      <family val="2"/>
    </font>
    <font>
      <b/>
      <sz val="9"/>
      <color indexed="81"/>
      <name val="Tahoma"/>
      <family val="2"/>
    </font>
    <font>
      <sz val="11"/>
      <color rgb="FFFF0000"/>
      <name val="Calibri"/>
      <family val="2"/>
      <scheme val="minor"/>
    </font>
    <font>
      <sz val="10"/>
      <name val="Calibri"/>
      <family val="2"/>
      <scheme val="minor"/>
    </font>
    <font>
      <sz val="9"/>
      <color rgb="FF000000"/>
      <name val="Calibri "/>
    </font>
    <font>
      <sz val="9"/>
      <color theme="1"/>
      <name val="Calibri "/>
    </font>
    <font>
      <u/>
      <sz val="11"/>
      <color rgb="FF0070C0"/>
      <name val="Calibri"/>
      <family val="2"/>
      <scheme val="minor"/>
    </font>
    <font>
      <sz val="9"/>
      <color rgb="FF000000"/>
      <name val="Calibri Light"/>
      <family val="2"/>
      <scheme val="major"/>
    </font>
    <font>
      <sz val="9"/>
      <color theme="1"/>
      <name val="Calibri Light"/>
      <family val="2"/>
      <scheme val="major"/>
    </font>
    <font>
      <b/>
      <sz val="10"/>
      <color theme="1"/>
      <name val="Calibri"/>
      <family val="2"/>
      <scheme val="minor"/>
    </font>
    <font>
      <b/>
      <sz val="8"/>
      <color theme="1"/>
      <name val="Calibri"/>
      <family val="2"/>
      <scheme val="minor"/>
    </font>
    <font>
      <b/>
      <sz val="9"/>
      <color rgb="FFC00000"/>
      <name val="Calibri"/>
      <family val="2"/>
      <scheme val="minor"/>
    </font>
    <font>
      <b/>
      <sz val="8"/>
      <color rgb="FFC00000"/>
      <name val="Calibri"/>
      <family val="2"/>
      <scheme val="minor"/>
    </font>
    <font>
      <b/>
      <sz val="16"/>
      <color rgb="FF000000"/>
      <name val="Calibri"/>
      <family val="2"/>
      <scheme val="minor"/>
    </font>
    <font>
      <sz val="10"/>
      <color rgb="FF000000"/>
      <name val="Arial  N"/>
    </font>
    <font>
      <b/>
      <sz val="14"/>
      <name val="Calibri"/>
      <family val="2"/>
      <scheme val="minor"/>
    </font>
    <font>
      <sz val="9"/>
      <name val="Calibri"/>
      <family val="2"/>
      <scheme val="minor"/>
    </font>
    <font>
      <sz val="8"/>
      <name val="Arial Narrow"/>
      <family val="2"/>
    </font>
    <font>
      <b/>
      <sz val="8"/>
      <name val="Arial Narrow"/>
      <family val="2"/>
    </font>
    <font>
      <sz val="8"/>
      <color theme="1"/>
      <name val="Arial"/>
      <family val="2"/>
    </font>
    <font>
      <sz val="8"/>
      <color rgb="FF000000"/>
      <name val="Calibri "/>
    </font>
    <font>
      <b/>
      <sz val="10"/>
      <color rgb="FF006100"/>
      <name val="Calibri"/>
      <family val="2"/>
      <scheme val="minor"/>
    </font>
    <font>
      <i/>
      <sz val="9"/>
      <color theme="1" tint="4.9989318521683403E-2"/>
      <name val="Calibri"/>
      <family val="2"/>
      <scheme val="minor"/>
    </font>
    <font>
      <b/>
      <sz val="9"/>
      <color theme="1"/>
      <name val="Calibri"/>
      <family val="2"/>
      <scheme val="minor"/>
    </font>
    <font>
      <b/>
      <sz val="9"/>
      <name val="Calibri"/>
      <family val="2"/>
      <scheme val="minor"/>
    </font>
    <font>
      <b/>
      <sz val="8"/>
      <name val="Calibri"/>
      <family val="2"/>
      <scheme val="minor"/>
    </font>
    <font>
      <sz val="12"/>
      <color theme="1"/>
      <name val="Arial"/>
      <family val="2"/>
    </font>
    <font>
      <b/>
      <sz val="9"/>
      <name val="Arial Narrow"/>
      <family val="2"/>
    </font>
    <font>
      <b/>
      <sz val="7"/>
      <name val="Arial Narrow"/>
      <family val="2"/>
    </font>
    <font>
      <sz val="7"/>
      <name val="Arial Narrow"/>
      <family val="2"/>
    </font>
    <font>
      <u/>
      <sz val="7"/>
      <name val="Arial Narrow"/>
      <family val="2"/>
    </font>
    <font>
      <sz val="6"/>
      <color theme="1"/>
      <name val="Arial"/>
      <family val="2"/>
    </font>
    <font>
      <sz val="8"/>
      <color rgb="FF242424"/>
      <name val="Calibri"/>
      <family val="2"/>
      <scheme val="minor"/>
    </font>
    <font>
      <sz val="8"/>
      <name val="Arial"/>
      <family val="2"/>
    </font>
    <font>
      <b/>
      <sz val="8"/>
      <color theme="1"/>
      <name val="Arial"/>
      <family val="2"/>
    </font>
    <font>
      <b/>
      <sz val="11"/>
      <color rgb="FF00B0F0"/>
      <name val="Calibri"/>
      <family val="2"/>
      <scheme val="minor"/>
    </font>
    <font>
      <sz val="11"/>
      <color rgb="FF00B0F0"/>
      <name val="Calibri"/>
      <family val="2"/>
      <scheme val="minor"/>
    </font>
    <font>
      <sz val="12"/>
      <color rgb="FF000000"/>
      <name val="Calibri"/>
      <family val="2"/>
      <scheme val="minor"/>
    </font>
    <font>
      <sz val="12"/>
      <color theme="1"/>
      <name val="Calibri"/>
      <family val="2"/>
      <scheme val="minor"/>
    </font>
    <font>
      <b/>
      <sz val="9"/>
      <color rgb="FF000000"/>
      <name val="Tahoma"/>
      <family val="2"/>
    </font>
    <font>
      <sz val="9"/>
      <color rgb="FF000000"/>
      <name val="Tahoma"/>
      <family val="2"/>
    </font>
    <font>
      <b/>
      <sz val="8"/>
      <color rgb="FFFF0000"/>
      <name val="Calibri"/>
      <family val="2"/>
      <scheme val="minor"/>
    </font>
    <font>
      <sz val="10"/>
      <color rgb="FFFF0000"/>
      <name val="Calibri"/>
      <family val="2"/>
      <scheme val="minor"/>
    </font>
    <font>
      <sz val="9"/>
      <color theme="1"/>
      <name val="Arial"/>
      <family val="2"/>
    </font>
    <font>
      <i/>
      <sz val="9"/>
      <color theme="1"/>
      <name val="Arial"/>
      <family val="2"/>
    </font>
    <font>
      <sz val="8"/>
      <color rgb="FF000000"/>
      <name val="Calibri Light"/>
      <family val="2"/>
      <scheme val="major"/>
    </font>
    <font>
      <u/>
      <sz val="8"/>
      <color theme="10"/>
      <name val="Calibri"/>
      <family val="2"/>
      <scheme val="minor"/>
    </font>
    <font>
      <b/>
      <sz val="10"/>
      <color rgb="FF000000"/>
      <name val="Calibri"/>
      <family val="2"/>
      <scheme val="minor"/>
    </font>
    <font>
      <sz val="9"/>
      <color theme="1"/>
      <name val="Arial Narrow"/>
      <family val="2"/>
    </font>
    <font>
      <b/>
      <sz val="11"/>
      <name val="Calibri"/>
      <family val="2"/>
      <scheme val="minor"/>
    </font>
    <font>
      <b/>
      <sz val="8"/>
      <name val="Arial"/>
      <family val="2"/>
    </font>
    <font>
      <sz val="11"/>
      <name val="Calibri"/>
      <family val="2"/>
    </font>
    <font>
      <sz val="11"/>
      <color theme="1"/>
      <name val="Calibri"/>
      <family val="2"/>
    </font>
    <font>
      <b/>
      <sz val="11"/>
      <name val="Arial Narrow"/>
      <family val="2"/>
    </font>
    <font>
      <b/>
      <sz val="11"/>
      <name val="Arial"/>
      <family val="2"/>
    </font>
    <font>
      <sz val="11"/>
      <name val="Arial"/>
      <family val="2"/>
    </font>
    <font>
      <sz val="11"/>
      <color theme="1"/>
      <name val="Arial"/>
      <family val="2"/>
    </font>
    <font>
      <sz val="12"/>
      <name val="Arial"/>
      <family val="2"/>
    </font>
    <font>
      <sz val="8"/>
      <name val="Calibri"/>
      <family val="2"/>
    </font>
    <font>
      <sz val="11"/>
      <name val="Arial Narrow"/>
      <family val="2"/>
    </font>
    <font>
      <b/>
      <sz val="14"/>
      <name val="Arial"/>
      <family val="2"/>
    </font>
    <font>
      <b/>
      <sz val="11"/>
      <color theme="1"/>
      <name val="Calibri"/>
      <family val="2"/>
    </font>
  </fonts>
  <fills count="85">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FF00"/>
        <bgColor rgb="FF9FC5E8"/>
      </patternFill>
    </fill>
    <fill>
      <patternFill patternType="solid">
        <fgColor rgb="FFFFFF00"/>
        <bgColor rgb="FFC4F7A2"/>
      </patternFill>
    </fill>
    <fill>
      <patternFill patternType="solid">
        <fgColor rgb="FFFFFF00"/>
        <bgColor rgb="FFCFE2F3"/>
      </patternFill>
    </fill>
    <fill>
      <patternFill patternType="solid">
        <fgColor rgb="FFFFFF00"/>
        <bgColor rgb="FFFFFEA4"/>
      </patternFill>
    </fill>
    <fill>
      <patternFill patternType="solid">
        <fgColor rgb="FFFFFF00"/>
        <bgColor rgb="FFFAC7F3"/>
      </patternFill>
    </fill>
    <fill>
      <patternFill patternType="solid">
        <fgColor rgb="FFFFFF00"/>
        <bgColor rgb="FFFDFDC3"/>
      </patternFill>
    </fill>
    <fill>
      <patternFill patternType="solid">
        <fgColor rgb="FFFFFF00"/>
        <bgColor rgb="FFFF53D2"/>
      </patternFill>
    </fill>
    <fill>
      <patternFill patternType="solid">
        <fgColor rgb="FFFFFF00"/>
        <bgColor rgb="FFFF98E4"/>
      </patternFill>
    </fill>
    <fill>
      <patternFill patternType="solid">
        <fgColor theme="3" tint="0.79998168889431442"/>
        <bgColor indexed="64"/>
      </patternFill>
    </fill>
    <fill>
      <patternFill patternType="solid">
        <fgColor theme="0"/>
        <bgColor rgb="FFFFFE83"/>
      </patternFill>
    </fill>
    <fill>
      <patternFill patternType="solid">
        <fgColor theme="0"/>
        <bgColor rgb="FFFFFEA4"/>
      </patternFill>
    </fill>
    <fill>
      <patternFill patternType="solid">
        <fgColor theme="0"/>
        <bgColor rgb="FFFDFDC3"/>
      </patternFill>
    </fill>
    <fill>
      <patternFill patternType="solid">
        <fgColor rgb="FFFFFF00"/>
        <bgColor rgb="FFFFFE83"/>
      </patternFill>
    </fill>
    <fill>
      <patternFill patternType="solid">
        <fgColor theme="2" tint="-9.9978637043366805E-2"/>
        <bgColor indexed="64"/>
      </patternFill>
    </fill>
    <fill>
      <patternFill patternType="solid">
        <fgColor rgb="FFFFFF00"/>
        <bgColor rgb="FFFAAAE5"/>
      </patternFill>
    </fill>
    <fill>
      <patternFill patternType="solid">
        <fgColor rgb="FFFFFF00"/>
        <bgColor rgb="FFE0FACD"/>
      </patternFill>
    </fill>
    <fill>
      <patternFill patternType="solid">
        <fgColor rgb="FFFFFF00"/>
        <bgColor rgb="FFFFCBF1"/>
      </patternFill>
    </fill>
    <fill>
      <patternFill patternType="solid">
        <fgColor rgb="FFFFFF00"/>
        <bgColor rgb="FFFFD966"/>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theme="0"/>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4.9989318521683403E-2"/>
        <bgColor rgb="FFFF53D2"/>
      </patternFill>
    </fill>
    <fill>
      <patternFill patternType="solid">
        <fgColor theme="0" tint="-4.9989318521683403E-2"/>
        <bgColor rgb="FFFF98E4"/>
      </patternFill>
    </fill>
    <fill>
      <patternFill patternType="solid">
        <fgColor theme="0" tint="-0.14999847407452621"/>
        <bgColor rgb="FFFFFEA4"/>
      </patternFill>
    </fill>
    <fill>
      <patternFill patternType="solid">
        <fgColor theme="0" tint="-0.14999847407452621"/>
        <bgColor rgb="FFFF53D2"/>
      </patternFill>
    </fill>
    <fill>
      <patternFill patternType="solid">
        <fgColor theme="0" tint="-0.14999847407452621"/>
        <bgColor rgb="FFFF98E4"/>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FFFF99"/>
        <bgColor rgb="FFFFFF99"/>
      </patternFill>
    </fill>
    <fill>
      <patternFill patternType="solid">
        <fgColor rgb="FFFFFF00"/>
        <bgColor rgb="FFFFFF00"/>
      </patternFill>
    </fill>
    <fill>
      <patternFill patternType="solid">
        <fgColor rgb="FFFFC000"/>
        <bgColor rgb="FFFFE598"/>
      </patternFill>
    </fill>
    <fill>
      <patternFill patternType="solid">
        <fgColor rgb="FFFFC000"/>
        <bgColor indexed="64"/>
      </patternFill>
    </fill>
    <fill>
      <patternFill patternType="solid">
        <fgColor rgb="FFFFE598"/>
        <bgColor rgb="FFFFE598"/>
      </patternFill>
    </fill>
    <fill>
      <patternFill patternType="solid">
        <fgColor rgb="FFFF99CC"/>
        <bgColor rgb="FFFF99CC"/>
      </patternFill>
    </fill>
    <fill>
      <patternFill patternType="solid">
        <fgColor rgb="FFFF00FF"/>
        <bgColor rgb="FFFF00FF"/>
      </patternFill>
    </fill>
    <fill>
      <patternFill patternType="solid">
        <fgColor rgb="FF00FF00"/>
        <bgColor rgb="FF00FF00"/>
      </patternFill>
    </fill>
    <fill>
      <patternFill patternType="solid">
        <fgColor theme="4" tint="0.59999389629810485"/>
        <bgColor rgb="FF66FF66"/>
      </patternFill>
    </fill>
    <fill>
      <patternFill patternType="solid">
        <fgColor theme="4" tint="0.59999389629810485"/>
        <bgColor rgb="FF99FF99"/>
      </patternFill>
    </fill>
    <fill>
      <patternFill patternType="solid">
        <fgColor theme="4" tint="0.59999389629810485"/>
        <bgColor rgb="FFCCFFCC"/>
      </patternFill>
    </fill>
    <fill>
      <patternFill patternType="solid">
        <fgColor theme="0"/>
        <bgColor theme="0"/>
      </patternFill>
    </fill>
    <fill>
      <patternFill patternType="solid">
        <fgColor theme="0"/>
        <bgColor rgb="FF92D050"/>
      </patternFill>
    </fill>
    <fill>
      <patternFill patternType="solid">
        <fgColor rgb="FFFFFFFF"/>
        <bgColor indexed="64"/>
      </patternFill>
    </fill>
    <fill>
      <patternFill patternType="solid">
        <fgColor theme="4" tint="0.59999389629810485"/>
        <bgColor rgb="FF99FFCC"/>
      </patternFill>
    </fill>
    <fill>
      <patternFill patternType="solid">
        <fgColor theme="9" tint="0.59999389629810485"/>
        <bgColor rgb="FF66FF66"/>
      </patternFill>
    </fill>
    <fill>
      <patternFill patternType="solid">
        <fgColor theme="9" tint="0.59999389629810485"/>
        <bgColor rgb="FF99FF99"/>
      </patternFill>
    </fill>
    <fill>
      <patternFill patternType="solid">
        <fgColor theme="9" tint="0.59999389629810485"/>
        <bgColor rgb="FFCCFFCC"/>
      </patternFill>
    </fill>
    <fill>
      <patternFill patternType="solid">
        <fgColor theme="9" tint="0.59999389629810485"/>
        <bgColor rgb="FFFFFF00"/>
      </patternFill>
    </fill>
    <fill>
      <patternFill patternType="solid">
        <fgColor theme="7" tint="0.59999389629810485"/>
        <bgColor rgb="FF66FF66"/>
      </patternFill>
    </fill>
    <fill>
      <patternFill patternType="solid">
        <fgColor theme="7" tint="0.59999389629810485"/>
        <bgColor rgb="FF99FF99"/>
      </patternFill>
    </fill>
    <fill>
      <patternFill patternType="solid">
        <fgColor theme="7" tint="0.59999389629810485"/>
        <bgColor rgb="FFCCFFCC"/>
      </patternFill>
    </fill>
    <fill>
      <patternFill patternType="solid">
        <fgColor theme="5" tint="0.39997558519241921"/>
        <bgColor rgb="FF66FF66"/>
      </patternFill>
    </fill>
    <fill>
      <patternFill patternType="solid">
        <fgColor theme="5" tint="0.39997558519241921"/>
        <bgColor rgb="FF99FF99"/>
      </patternFill>
    </fill>
    <fill>
      <patternFill patternType="solid">
        <fgColor theme="5" tint="0.39997558519241921"/>
        <bgColor rgb="FFCCFFCC"/>
      </patternFill>
    </fill>
    <fill>
      <patternFill patternType="solid">
        <fgColor theme="0" tint="-0.14999847407452621"/>
        <bgColor rgb="FF66FF66"/>
      </patternFill>
    </fill>
    <fill>
      <patternFill patternType="solid">
        <fgColor theme="0" tint="-0.14999847407452621"/>
        <bgColor rgb="FF99FF99"/>
      </patternFill>
    </fill>
    <fill>
      <patternFill patternType="solid">
        <fgColor theme="0" tint="-0.14999847407452621"/>
        <bgColor rgb="FFCCFFCC"/>
      </patternFill>
    </fill>
    <fill>
      <patternFill patternType="solid">
        <fgColor theme="8" tint="0.59999389629810485"/>
        <bgColor rgb="FF66FF66"/>
      </patternFill>
    </fill>
    <fill>
      <patternFill patternType="solid">
        <fgColor theme="8" tint="0.59999389629810485"/>
        <bgColor rgb="FF99FF99"/>
      </patternFill>
    </fill>
    <fill>
      <patternFill patternType="solid">
        <fgColor theme="8" tint="0.59999389629810485"/>
        <bgColor rgb="FFCCFFCC"/>
      </patternFill>
    </fill>
    <fill>
      <patternFill patternType="solid">
        <fgColor theme="0"/>
        <bgColor rgb="FFCCFFCC"/>
      </patternFill>
    </fill>
    <fill>
      <patternFill patternType="solid">
        <fgColor rgb="FFCCFFCC"/>
        <bgColor rgb="FFFFFF00"/>
      </patternFill>
    </fill>
    <fill>
      <patternFill patternType="solid">
        <fgColor rgb="FFE1FFE1"/>
        <bgColor rgb="FFE1FFE1"/>
      </patternFill>
    </fill>
  </fills>
  <borders count="154">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medium">
        <color indexed="64"/>
      </left>
      <right style="medium">
        <color indexed="64"/>
      </right>
      <top/>
      <bottom style="thin">
        <color rgb="FF000000"/>
      </bottom>
      <diagonal/>
    </border>
    <border>
      <left/>
      <right style="medium">
        <color indexed="64"/>
      </right>
      <top/>
      <bottom style="thin">
        <color rgb="FF000000"/>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8"/>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right style="thin">
        <color rgb="FF000000"/>
      </right>
      <top style="medium">
        <color indexed="64"/>
      </top>
      <bottom style="thin">
        <color indexed="64"/>
      </bottom>
      <diagonal/>
    </border>
    <border>
      <left style="medium">
        <color indexed="64"/>
      </left>
      <right style="thin">
        <color indexed="64"/>
      </right>
      <top style="thin">
        <color rgb="FF000000"/>
      </top>
      <bottom style="thin">
        <color rgb="FF000000"/>
      </bottom>
      <diagonal/>
    </border>
    <border>
      <left style="medium">
        <color indexed="64"/>
      </left>
      <right/>
      <top style="thin">
        <color indexed="64"/>
      </top>
      <bottom style="medium">
        <color indexed="64"/>
      </bottom>
      <diagonal/>
    </border>
    <border>
      <left style="thin">
        <color indexed="64"/>
      </left>
      <right style="thin">
        <color rgb="FF000000"/>
      </right>
      <top style="thin">
        <color rgb="FF000000"/>
      </top>
      <bottom style="medium">
        <color indexed="64"/>
      </bottom>
      <diagonal/>
    </border>
    <border>
      <left style="medium">
        <color indexed="64"/>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right style="thin">
        <color rgb="FF000000"/>
      </right>
      <top/>
      <bottom/>
      <diagonal/>
    </border>
    <border>
      <left style="thin">
        <color rgb="FF000000"/>
      </left>
      <right style="thin">
        <color indexed="64"/>
      </right>
      <top/>
      <bottom/>
      <diagonal/>
    </border>
    <border>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top style="thin">
        <color rgb="FF000000"/>
      </top>
      <bottom style="medium">
        <color indexed="64"/>
      </bottom>
      <diagonal/>
    </border>
    <border>
      <left style="medium">
        <color indexed="64"/>
      </left>
      <right style="thin">
        <color indexed="64"/>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bottom style="medium">
        <color indexed="64"/>
      </bottom>
      <diagonal/>
    </border>
    <border>
      <left style="medium">
        <color indexed="64"/>
      </left>
      <right style="thin">
        <color indexed="64"/>
      </right>
      <top style="thin">
        <color rgb="FF000000"/>
      </top>
      <bottom/>
      <diagonal/>
    </border>
    <border>
      <left style="medium">
        <color indexed="64"/>
      </left>
      <right style="thin">
        <color indexed="64"/>
      </right>
      <top/>
      <bottom style="thin">
        <color indexed="64"/>
      </bottom>
      <diagonal/>
    </border>
    <border>
      <left style="thin">
        <color rgb="FF000000"/>
      </left>
      <right/>
      <top/>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rgb="FF000000"/>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rgb="FF000000"/>
      </left>
      <right/>
      <top style="medium">
        <color indexed="64"/>
      </top>
      <bottom style="thin">
        <color rgb="FF000000"/>
      </bottom>
      <diagonal/>
    </border>
    <border>
      <left style="thin">
        <color indexed="64"/>
      </left>
      <right style="medium">
        <color indexed="64"/>
      </right>
      <top style="thin">
        <color rgb="FF000000"/>
      </top>
      <bottom style="thin">
        <color indexed="64"/>
      </bottom>
      <diagonal/>
    </border>
    <border>
      <left style="thin">
        <color rgb="FF000000"/>
      </left>
      <right style="thin">
        <color rgb="FF000000"/>
      </right>
      <top style="medium">
        <color indexed="64"/>
      </top>
      <bottom style="thin">
        <color indexed="64"/>
      </bottom>
      <diagonal/>
    </border>
    <border>
      <left style="medium">
        <color indexed="64"/>
      </left>
      <right style="thin">
        <color indexed="64"/>
      </right>
      <top style="medium">
        <color indexed="64"/>
      </top>
      <bottom/>
      <diagonal/>
    </border>
    <border>
      <left style="thin">
        <color rgb="FF000000"/>
      </left>
      <right style="thin">
        <color rgb="FF000000"/>
      </right>
      <top style="thin">
        <color indexed="64"/>
      </top>
      <bottom style="medium">
        <color indexed="64"/>
      </bottom>
      <diagonal/>
    </border>
    <border>
      <left style="thin">
        <color indexed="64"/>
      </left>
      <right style="thin">
        <color rgb="FF000000"/>
      </right>
      <top style="medium">
        <color indexed="64"/>
      </top>
      <bottom style="medium">
        <color indexed="64"/>
      </bottom>
      <diagonal/>
    </border>
    <border>
      <left style="thin">
        <color rgb="FF000000"/>
      </left>
      <right style="thin">
        <color rgb="FF000000"/>
      </right>
      <top/>
      <bottom style="thin">
        <color indexed="64"/>
      </bottom>
      <diagonal/>
    </border>
    <border>
      <left/>
      <right style="medium">
        <color indexed="64"/>
      </right>
      <top style="thin">
        <color rgb="FF000000"/>
      </top>
      <bottom style="thin">
        <color rgb="FF000000"/>
      </bottom>
      <diagonal/>
    </border>
    <border>
      <left/>
      <right style="thin">
        <color indexed="64"/>
      </right>
      <top/>
      <bottom style="thin">
        <color rgb="FF000000"/>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style="thin">
        <color rgb="FF000000"/>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medium">
        <color indexed="64"/>
      </right>
      <top style="thin">
        <color rgb="FF000000"/>
      </top>
      <bottom style="medium">
        <color indexed="64"/>
      </bottom>
      <diagonal/>
    </border>
    <border>
      <left/>
      <right style="thin">
        <color indexed="64"/>
      </right>
      <top style="medium">
        <color indexed="64"/>
      </top>
      <bottom/>
      <diagonal/>
    </border>
    <border>
      <left style="medium">
        <color indexed="64"/>
      </left>
      <right style="thin">
        <color rgb="FF000000"/>
      </right>
      <top style="thin">
        <color indexed="64"/>
      </top>
      <bottom style="medium">
        <color indexed="64"/>
      </bottom>
      <diagonal/>
    </border>
    <border>
      <left style="thin">
        <color indexed="64"/>
      </left>
      <right style="thin">
        <color rgb="FF000000"/>
      </right>
      <top style="thin">
        <color indexed="64"/>
      </top>
      <bottom style="medium">
        <color indexed="64"/>
      </bottom>
      <diagonal/>
    </border>
    <border>
      <left style="thin">
        <color indexed="64"/>
      </left>
      <right style="medium">
        <color indexed="64"/>
      </right>
      <top/>
      <bottom style="medium">
        <color indexed="64"/>
      </bottom>
      <diagonal/>
    </border>
  </borders>
  <cellStyleXfs count="18">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1" fillId="0" borderId="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44" fontId="21" fillId="0" borderId="0" applyFont="0" applyFill="0" applyBorder="0" applyAlignment="0" applyProtection="0"/>
    <xf numFmtId="0" fontId="80" fillId="0" borderId="0"/>
    <xf numFmtId="0" fontId="21" fillId="0" borderId="0"/>
    <xf numFmtId="0" fontId="21" fillId="0" borderId="0"/>
    <xf numFmtId="9" fontId="21" fillId="0" borderId="0" applyFont="0" applyFill="0" applyBorder="0" applyAlignment="0" applyProtection="0"/>
  </cellStyleXfs>
  <cellXfs count="2810">
    <xf numFmtId="0" fontId="0" fillId="0" borderId="0" xfId="0"/>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4" fillId="0" borderId="8" xfId="0" applyFont="1" applyBorder="1" applyAlignment="1">
      <alignment horizontal="left" vertical="center" wrapText="1"/>
    </xf>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Alignment="1">
      <alignment vertical="top"/>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Border="1" applyAlignment="1" applyProtection="1">
      <alignment vertical="top"/>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4" borderId="8" xfId="0" applyFont="1" applyFill="1" applyBorder="1" applyAlignment="1">
      <alignment vertical="top"/>
    </xf>
    <xf numFmtId="0" fontId="4" fillId="0" borderId="7" xfId="0" applyFont="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0" fillId="3" borderId="16" xfId="0" applyFill="1" applyBorder="1" applyAlignment="1">
      <alignment vertical="top"/>
    </xf>
    <xf numFmtId="0" fontId="20" fillId="0" borderId="0" xfId="0" applyFont="1" applyAlignment="1">
      <alignment vertical="top"/>
    </xf>
    <xf numFmtId="0" fontId="4" fillId="0" borderId="0" xfId="0" applyFont="1" applyAlignment="1">
      <alignment horizontal="center" vertical="top"/>
    </xf>
    <xf numFmtId="0" fontId="6" fillId="0" borderId="0" xfId="0" applyFont="1" applyAlignment="1">
      <alignment horizontal="center" vertical="top" wrapText="1"/>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Alignment="1">
      <alignment horizontal="center" vertical="top" wrapText="1"/>
    </xf>
    <xf numFmtId="0" fontId="12" fillId="0" borderId="0" xfId="0" applyFont="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14" fillId="0" borderId="8" xfId="0" applyFont="1" applyBorder="1" applyAlignment="1">
      <alignment horizontal="center" vertical="top"/>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3" fillId="0" borderId="1" xfId="0" applyFont="1" applyBorder="1" applyAlignment="1">
      <alignment vertical="top" wrapText="1"/>
    </xf>
    <xf numFmtId="0" fontId="4"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9" fontId="4" fillId="4" borderId="8" xfId="3" applyFont="1" applyFill="1" applyBorder="1" applyAlignment="1">
      <alignment vertical="top"/>
    </xf>
    <xf numFmtId="9" fontId="4" fillId="4" borderId="8" xfId="0" applyNumberFormat="1" applyFont="1" applyFill="1" applyBorder="1" applyAlignment="1">
      <alignment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22" fillId="0" borderId="0" xfId="0" applyFont="1"/>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9" fontId="25" fillId="6" borderId="8" xfId="0" applyNumberFormat="1" applyFont="1" applyFill="1" applyBorder="1" applyAlignment="1">
      <alignment horizontal="center"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9" fontId="25" fillId="6" borderId="8" xfId="3" applyFont="1" applyFill="1" applyBorder="1" applyAlignment="1">
      <alignment horizontal="center" vertical="top" wrapText="1"/>
    </xf>
    <xf numFmtId="0" fontId="0" fillId="3" borderId="30" xfId="0"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5" xfId="0" applyFont="1" applyBorder="1" applyAlignment="1">
      <alignment vertical="top" wrapText="1"/>
    </xf>
    <xf numFmtId="0" fontId="4" fillId="0" borderId="8" xfId="0" applyFont="1" applyBorder="1" applyAlignment="1" applyProtection="1">
      <alignment horizontal="center" vertical="top" wrapText="1"/>
      <protection locked="0"/>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4" fillId="0" borderId="6" xfId="0" applyFont="1" applyBorder="1" applyAlignment="1" applyProtection="1">
      <alignment horizontal="center" vertical="top" wrapText="1"/>
      <protection locked="0"/>
    </xf>
    <xf numFmtId="0" fontId="0" fillId="7" borderId="20" xfId="0" applyFill="1" applyBorder="1" applyAlignment="1">
      <alignment vertical="top"/>
    </xf>
    <xf numFmtId="0" fontId="4" fillId="6" borderId="8" xfId="0" applyFont="1" applyFill="1" applyBorder="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0" fontId="1" fillId="6" borderId="20" xfId="1" applyFill="1" applyBorder="1" applyAlignment="1" applyProtection="1">
      <alignment vertical="top"/>
    </xf>
    <xf numFmtId="0" fontId="4" fillId="0" borderId="1" xfId="0" applyFont="1" applyBorder="1" applyAlignment="1">
      <alignment vertical="top" wrapText="1"/>
    </xf>
    <xf numFmtId="0" fontId="4" fillId="3" borderId="8" xfId="0" applyFont="1" applyFill="1" applyBorder="1" applyAlignment="1">
      <alignment vertical="top"/>
    </xf>
    <xf numFmtId="0" fontId="4" fillId="0" borderId="14" xfId="0" applyFont="1" applyBorder="1" applyAlignment="1">
      <alignment horizontal="center" vertical="top" wrapText="1"/>
    </xf>
    <xf numFmtId="0" fontId="4" fillId="0" borderId="9" xfId="0" applyFont="1" applyBorder="1" applyAlignment="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9" fontId="4" fillId="9" borderId="12" xfId="3" applyFont="1" applyFill="1" applyBorder="1" applyAlignment="1" applyProtection="1">
      <alignment horizontal="center" vertical="top"/>
    </xf>
    <xf numFmtId="0" fontId="12" fillId="0" borderId="14" xfId="0" applyFont="1" applyBorder="1" applyAlignment="1">
      <alignment horizontal="center" vertical="top"/>
    </xf>
    <xf numFmtId="0" fontId="4" fillId="5" borderId="8" xfId="0" applyFont="1" applyFill="1" applyBorder="1" applyAlignment="1" applyProtection="1">
      <alignment vertical="top"/>
      <protection locked="0"/>
    </xf>
    <xf numFmtId="0" fontId="0" fillId="0" borderId="7" xfId="0" applyBorder="1" applyAlignment="1">
      <alignment vertical="top"/>
    </xf>
    <xf numFmtId="0" fontId="5" fillId="0" borderId="14" xfId="0" applyFont="1" applyBorder="1" applyAlignment="1">
      <alignment vertical="top" wrapText="1"/>
    </xf>
    <xf numFmtId="0" fontId="0" fillId="0" borderId="4" xfId="0" applyBorder="1" applyAlignment="1">
      <alignment vertical="top"/>
    </xf>
    <xf numFmtId="0" fontId="4" fillId="0" borderId="14" xfId="0" applyFont="1" applyBorder="1" applyAlignment="1">
      <alignment vertical="top" wrapText="1"/>
    </xf>
    <xf numFmtId="0" fontId="7" fillId="0" borderId="11" xfId="0" applyFont="1" applyBorder="1" applyAlignment="1">
      <alignment vertical="top" wrapText="1"/>
    </xf>
    <xf numFmtId="0" fontId="5" fillId="0" borderId="14" xfId="0" applyFont="1" applyBorder="1" applyAlignment="1">
      <alignment vertical="top"/>
    </xf>
    <xf numFmtId="0" fontId="4" fillId="0" borderId="10" xfId="0" applyFont="1" applyBorder="1" applyAlignment="1">
      <alignment vertical="top" wrapText="1"/>
    </xf>
    <xf numFmtId="0" fontId="4" fillId="0" borderId="11" xfId="0" applyFont="1" applyBorder="1" applyAlignment="1">
      <alignment horizontal="center" vertical="top" wrapText="1"/>
    </xf>
    <xf numFmtId="0" fontId="4" fillId="0" borderId="15" xfId="0" applyFont="1" applyBorder="1" applyAlignment="1">
      <alignment vertical="top" wrapText="1"/>
    </xf>
    <xf numFmtId="0" fontId="14" fillId="0" borderId="0" xfId="0" applyFont="1" applyAlignment="1">
      <alignment vertical="top" wrapText="1"/>
    </xf>
    <xf numFmtId="0" fontId="14" fillId="0" borderId="0" xfId="0" applyFont="1" applyAlignment="1">
      <alignment horizontal="center" vertical="top" wrapText="1"/>
    </xf>
    <xf numFmtId="0" fontId="4" fillId="3" borderId="7" xfId="0" applyFont="1" applyFill="1" applyBorder="1" applyAlignment="1" applyProtection="1">
      <alignment vertical="top"/>
      <protection locked="0"/>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lignment vertical="top"/>
    </xf>
    <xf numFmtId="0" fontId="4" fillId="0" borderId="8" xfId="0" applyFont="1" applyBorder="1" applyAlignment="1">
      <alignment horizontal="left" vertical="top" wrapText="1"/>
    </xf>
    <xf numFmtId="0" fontId="17" fillId="0" borderId="8" xfId="2" applyBorder="1" applyAlignment="1" applyProtection="1">
      <alignment vertical="top" wrapText="1"/>
    </xf>
    <xf numFmtId="0" fontId="3" fillId="0" borderId="7" xfId="0" applyFont="1" applyBorder="1" applyAlignment="1">
      <alignment horizontal="center" vertical="top" wrapText="1"/>
    </xf>
    <xf numFmtId="0" fontId="4" fillId="6" borderId="8" xfId="0" applyFont="1" applyFill="1" applyBorder="1" applyAlignment="1">
      <alignment vertical="top"/>
    </xf>
    <xf numFmtId="9" fontId="4" fillId="6" borderId="8" xfId="0" applyNumberFormat="1" applyFont="1" applyFill="1" applyBorder="1" applyAlignment="1">
      <alignment horizontal="center" vertical="top"/>
    </xf>
    <xf numFmtId="0" fontId="3" fillId="0" borderId="12" xfId="0" applyFont="1" applyBorder="1" applyAlignment="1">
      <alignment horizontal="center" vertical="top" wrapText="1"/>
    </xf>
    <xf numFmtId="0" fontId="12" fillId="0" borderId="4" xfId="0" applyFont="1" applyBorder="1" applyAlignment="1">
      <alignment vertical="top"/>
    </xf>
    <xf numFmtId="0" fontId="12" fillId="0" borderId="12" xfId="0" applyFont="1" applyBorder="1" applyAlignment="1">
      <alignment vertical="top"/>
    </xf>
    <xf numFmtId="9" fontId="4" fillId="5" borderId="8" xfId="0" applyNumberFormat="1" applyFont="1" applyFill="1" applyBorder="1" applyAlignment="1">
      <alignment vertical="top" wrapText="1"/>
    </xf>
    <xf numFmtId="9" fontId="0" fillId="0" borderId="0" xfId="0" applyNumberFormat="1" applyAlignment="1">
      <alignment vertical="top"/>
    </xf>
    <xf numFmtId="0" fontId="8" fillId="0" borderId="5" xfId="0" applyFont="1" applyBorder="1" applyAlignment="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0" fontId="3" fillId="0" borderId="9" xfId="0" applyFont="1" applyBorder="1" applyAlignment="1">
      <alignment vertical="top"/>
    </xf>
    <xf numFmtId="3" fontId="4" fillId="9" borderId="13" xfId="0" applyNumberFormat="1" applyFont="1" applyFill="1" applyBorder="1" applyAlignment="1">
      <alignment horizontal="right" vertical="top"/>
    </xf>
    <xf numFmtId="3" fontId="4" fillId="9" borderId="13" xfId="0" applyNumberFormat="1" applyFont="1" applyFill="1" applyBorder="1" applyAlignment="1">
      <alignment horizontal="center" vertical="top"/>
    </xf>
    <xf numFmtId="0" fontId="4" fillId="9" borderId="8" xfId="0" applyFont="1" applyFill="1" applyBorder="1" applyAlignment="1">
      <alignment vertical="top"/>
    </xf>
    <xf numFmtId="0" fontId="4" fillId="0" borderId="31" xfId="0" applyFont="1" applyBorder="1" applyAlignment="1">
      <alignment vertical="top"/>
    </xf>
    <xf numFmtId="0" fontId="4" fillId="0" borderId="32" xfId="0" applyFont="1" applyBorder="1" applyAlignment="1">
      <alignment vertical="top"/>
    </xf>
    <xf numFmtId="0" fontId="4" fillId="0" borderId="33" xfId="0" applyFont="1" applyBorder="1" applyAlignment="1">
      <alignment vertical="top"/>
    </xf>
    <xf numFmtId="0" fontId="4" fillId="0" borderId="34" xfId="0" applyFont="1" applyBorder="1" applyAlignment="1">
      <alignment vertical="top"/>
    </xf>
    <xf numFmtId="3" fontId="4" fillId="6" borderId="16" xfId="0" applyNumberFormat="1" applyFont="1" applyFill="1" applyBorder="1" applyAlignment="1">
      <alignment horizontal="center" vertical="top"/>
    </xf>
    <xf numFmtId="3" fontId="4" fillId="6" borderId="35" xfId="0" applyNumberFormat="1" applyFont="1" applyFill="1" applyBorder="1" applyAlignment="1">
      <alignment horizontal="center" vertical="top"/>
    </xf>
    <xf numFmtId="0" fontId="4" fillId="0" borderId="34" xfId="0" applyFont="1" applyBorder="1" applyAlignment="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lignment vertical="top"/>
    </xf>
    <xf numFmtId="0" fontId="0" fillId="0" borderId="3" xfId="0" applyBorder="1"/>
    <xf numFmtId="0" fontId="0" fillId="0" borderId="4" xfId="0" applyBorder="1"/>
    <xf numFmtId="3" fontId="4" fillId="0" borderId="8" xfId="0" applyNumberFormat="1" applyFont="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7" fillId="0" borderId="16" xfId="0" applyFont="1" applyBorder="1" applyAlignment="1">
      <alignment vertical="top"/>
    </xf>
    <xf numFmtId="9" fontId="4" fillId="0" borderId="16" xfId="0" applyNumberFormat="1" applyFont="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0" fontId="8" fillId="0" borderId="0" xfId="0" applyFont="1" applyAlignment="1">
      <alignment vertical="top" wrapText="1"/>
    </xf>
    <xf numFmtId="9" fontId="0" fillId="6" borderId="12" xfId="3" applyFont="1" applyFill="1" applyBorder="1" applyAlignment="1">
      <alignment horizontal="center" vertical="top"/>
    </xf>
    <xf numFmtId="0" fontId="3" fillId="0" borderId="3" xfId="0" applyFont="1" applyBorder="1" applyAlignment="1">
      <alignment vertical="top" wrapText="1"/>
    </xf>
    <xf numFmtId="0" fontId="27" fillId="0" borderId="16" xfId="0" applyFont="1" applyBorder="1" applyAlignment="1">
      <alignment vertical="top" wrapText="1"/>
    </xf>
    <xf numFmtId="9" fontId="4" fillId="4" borderId="12" xfId="0" applyNumberFormat="1" applyFont="1" applyFill="1" applyBorder="1" applyAlignment="1">
      <alignment horizontal="right" vertical="top"/>
    </xf>
    <xf numFmtId="0" fontId="0" fillId="0" borderId="6" xfId="0" applyBorder="1" applyAlignment="1">
      <alignment horizontal="center" vertical="top"/>
    </xf>
    <xf numFmtId="3" fontId="4" fillId="4" borderId="8" xfId="0" applyNumberFormat="1" applyFont="1" applyFill="1" applyBorder="1" applyAlignment="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2" xfId="0" applyFont="1" applyBorder="1" applyAlignment="1">
      <alignment horizontal="center" vertical="center" wrapText="1"/>
    </xf>
    <xf numFmtId="0" fontId="3" fillId="3" borderId="8" xfId="0" applyFont="1" applyFill="1" applyBorder="1" applyAlignment="1" applyProtection="1">
      <alignment horizontal="center" vertical="top" wrapText="1"/>
      <protection locked="0"/>
    </xf>
    <xf numFmtId="9" fontId="25" fillId="6" borderId="16" xfId="0" applyNumberFormat="1" applyFont="1" applyFill="1" applyBorder="1" applyAlignment="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0" fontId="4" fillId="3" borderId="7"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9" fontId="4" fillId="4" borderId="14" xfId="3" applyFont="1" applyFill="1" applyBorder="1" applyAlignment="1">
      <alignment horizontal="center" vertical="center"/>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0" fontId="4" fillId="3" borderId="8" xfId="0" applyFont="1" applyFill="1" applyBorder="1" applyAlignment="1" applyProtection="1">
      <alignment horizontal="left" vertical="top" wrapText="1"/>
      <protection locked="0"/>
    </xf>
    <xf numFmtId="0" fontId="3" fillId="3" borderId="8" xfId="0" applyFont="1" applyFill="1" applyBorder="1" applyAlignment="1" applyProtection="1">
      <alignment vertical="top" wrapText="1"/>
      <protection locked="0"/>
    </xf>
    <xf numFmtId="9" fontId="3" fillId="3" borderId="8" xfId="0" applyNumberFormat="1" applyFont="1" applyFill="1" applyBorder="1" applyAlignment="1" applyProtection="1">
      <alignment horizontal="center" vertical="top"/>
      <protection locked="0"/>
    </xf>
    <xf numFmtId="0" fontId="28" fillId="0" borderId="1" xfId="0" applyFont="1" applyBorder="1" applyAlignment="1">
      <alignment vertical="top" wrapText="1"/>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0" fontId="4" fillId="3" borderId="6" xfId="0" applyFont="1" applyFill="1" applyBorder="1" applyAlignment="1" applyProtection="1">
      <alignment vertical="top"/>
      <protection locked="0"/>
    </xf>
    <xf numFmtId="0" fontId="4" fillId="3" borderId="6" xfId="0" applyFont="1" applyFill="1" applyBorder="1" applyAlignment="1" applyProtection="1">
      <alignment horizontal="left" vertical="center"/>
      <protection locked="0"/>
    </xf>
    <xf numFmtId="9" fontId="4" fillId="4" borderId="13" xfId="3" applyFont="1" applyFill="1" applyBorder="1" applyAlignment="1">
      <alignment horizontal="center" vertical="top" wrapText="1"/>
    </xf>
    <xf numFmtId="0" fontId="4" fillId="3" borderId="32" xfId="0" applyFont="1" applyFill="1" applyBorder="1" applyAlignment="1" applyProtection="1">
      <alignment vertical="top"/>
      <protection locked="0"/>
    </xf>
    <xf numFmtId="0" fontId="4" fillId="3" borderId="33" xfId="0" applyFont="1" applyFill="1" applyBorder="1" applyAlignment="1" applyProtection="1">
      <alignment vertical="top"/>
      <protection locked="0"/>
    </xf>
    <xf numFmtId="0" fontId="0" fillId="3" borderId="35"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9" fontId="4" fillId="3" borderId="12" xfId="3" applyFont="1" applyFill="1" applyBorder="1" applyAlignment="1" applyProtection="1">
      <alignment horizontal="center" vertical="top"/>
      <protection locked="0"/>
    </xf>
    <xf numFmtId="0" fontId="17" fillId="0" borderId="0" xfId="2" applyFill="1"/>
    <xf numFmtId="0" fontId="0" fillId="0" borderId="16" xfId="0" applyBorder="1" applyAlignment="1">
      <alignment horizontal="center"/>
    </xf>
    <xf numFmtId="0" fontId="17" fillId="0" borderId="0" xfId="2" applyFill="1" applyBorder="1"/>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lignment horizontal="center" vertical="center"/>
    </xf>
    <xf numFmtId="0" fontId="0" fillId="0" borderId="16" xfId="0" applyBorder="1" applyAlignment="1">
      <alignment vertical="center"/>
    </xf>
    <xf numFmtId="0" fontId="0" fillId="0" borderId="16" xfId="0" applyBorder="1" applyAlignment="1">
      <alignment horizontal="center" vertical="center"/>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0" fontId="4" fillId="0" borderId="6" xfId="0" applyFont="1" applyBorder="1" applyAlignment="1">
      <alignment horizontal="center" vertical="top"/>
    </xf>
    <xf numFmtId="0" fontId="4" fillId="3" borderId="7" xfId="0" applyFont="1" applyFill="1" applyBorder="1" applyAlignment="1">
      <alignment horizontal="center" vertical="top"/>
    </xf>
    <xf numFmtId="0" fontId="4" fillId="0" borderId="0" xfId="0" applyFont="1" applyAlignment="1">
      <alignment horizontal="right" vertical="top" wrapText="1"/>
    </xf>
    <xf numFmtId="0" fontId="29" fillId="0" borderId="0" xfId="0" applyFont="1" applyAlignment="1">
      <alignment vertical="center" wrapText="1"/>
    </xf>
    <xf numFmtId="0" fontId="29" fillId="0" borderId="0" xfId="0" applyFont="1" applyAlignment="1">
      <alignment vertical="center"/>
    </xf>
    <xf numFmtId="0" fontId="0" fillId="0" borderId="0" xfId="0" applyAlignment="1">
      <alignment vertical="center"/>
    </xf>
    <xf numFmtId="0" fontId="22" fillId="0" borderId="31" xfId="0" applyFont="1"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0" fillId="0" borderId="39" xfId="0" applyBorder="1" applyAlignment="1">
      <alignment vertical="center"/>
    </xf>
    <xf numFmtId="0" fontId="30" fillId="11" borderId="15" xfId="5" applyFont="1" applyFill="1" applyBorder="1" applyAlignment="1">
      <alignment vertical="center" wrapText="1"/>
    </xf>
    <xf numFmtId="0" fontId="30" fillId="11" borderId="15" xfId="0" applyFont="1" applyFill="1" applyBorder="1" applyAlignment="1">
      <alignment vertical="center" wrapText="1"/>
    </xf>
    <xf numFmtId="0" fontId="30" fillId="11" borderId="7" xfId="0" applyFont="1" applyFill="1" applyBorder="1" applyAlignment="1">
      <alignment vertical="center" wrapText="1"/>
    </xf>
    <xf numFmtId="0" fontId="29" fillId="10" borderId="14" xfId="0" applyFont="1" applyFill="1" applyBorder="1" applyAlignment="1">
      <alignment vertical="center" wrapText="1"/>
    </xf>
    <xf numFmtId="0" fontId="29" fillId="10" borderId="15" xfId="0" applyFont="1" applyFill="1" applyBorder="1" applyAlignment="1">
      <alignment vertical="center" wrapText="1"/>
    </xf>
    <xf numFmtId="0" fontId="29" fillId="10" borderId="7" xfId="0" applyFont="1" applyFill="1" applyBorder="1" applyAlignment="1">
      <alignment vertical="center" wrapText="1"/>
    </xf>
    <xf numFmtId="0" fontId="4" fillId="3" borderId="30" xfId="0" applyFont="1" applyFill="1" applyBorder="1" applyAlignment="1">
      <alignment vertical="top" wrapText="1"/>
    </xf>
    <xf numFmtId="49" fontId="35" fillId="0" borderId="46" xfId="5" applyNumberFormat="1" applyFont="1" applyBorder="1" applyAlignment="1">
      <alignment vertical="center" wrapText="1"/>
    </xf>
    <xf numFmtId="49" fontId="35" fillId="0" borderId="46" xfId="5" quotePrefix="1" applyNumberFormat="1" applyFont="1" applyBorder="1" applyAlignment="1">
      <alignment vertical="center" wrapText="1"/>
    </xf>
    <xf numFmtId="0" fontId="35" fillId="0" borderId="46" xfId="5" applyFont="1" applyBorder="1" applyAlignment="1">
      <alignment vertical="center" wrapText="1"/>
    </xf>
    <xf numFmtId="49" fontId="35" fillId="0" borderId="45" xfId="5" applyNumberFormat="1" applyFont="1" applyBorder="1" applyAlignment="1">
      <alignment horizontal="center" vertical="center" wrapText="1"/>
    </xf>
    <xf numFmtId="49" fontId="36" fillId="0" borderId="45" xfId="5" applyNumberFormat="1" applyFont="1" applyBorder="1" applyAlignment="1">
      <alignment horizontal="center" vertical="center" wrapText="1"/>
    </xf>
    <xf numFmtId="49" fontId="35" fillId="9" borderId="45" xfId="5" applyNumberFormat="1" applyFont="1" applyFill="1" applyBorder="1" applyAlignment="1">
      <alignment horizontal="center" vertical="center" wrapText="1"/>
    </xf>
    <xf numFmtId="0" fontId="22" fillId="0" borderId="0" xfId="0" applyFont="1" applyAlignment="1">
      <alignment horizontal="center" wrapText="1"/>
    </xf>
    <xf numFmtId="49" fontId="35" fillId="13" borderId="45" xfId="5" applyNumberFormat="1" applyFont="1" applyFill="1" applyBorder="1" applyAlignment="1">
      <alignment horizontal="center" vertical="center"/>
    </xf>
    <xf numFmtId="49" fontId="37" fillId="13" borderId="45" xfId="5" applyNumberFormat="1" applyFont="1" applyFill="1" applyBorder="1" applyAlignment="1">
      <alignment horizontal="center" vertical="center"/>
    </xf>
    <xf numFmtId="0" fontId="37" fillId="13" borderId="45" xfId="5" applyFont="1" applyFill="1" applyBorder="1" applyAlignment="1">
      <alignment horizontal="left" vertical="center"/>
    </xf>
    <xf numFmtId="0" fontId="35" fillId="13" borderId="45" xfId="5" applyFont="1" applyFill="1" applyBorder="1" applyAlignment="1">
      <alignment horizontal="left" vertical="center"/>
    </xf>
    <xf numFmtId="165" fontId="35" fillId="13" borderId="45" xfId="4" applyNumberFormat="1" applyFont="1" applyFill="1" applyBorder="1" applyAlignment="1">
      <alignment horizontal="right" vertical="center"/>
    </xf>
    <xf numFmtId="10" fontId="35" fillId="13" borderId="45" xfId="3" applyNumberFormat="1" applyFont="1" applyFill="1" applyBorder="1" applyAlignment="1">
      <alignment horizontal="right" vertical="center"/>
    </xf>
    <xf numFmtId="49" fontId="35" fillId="0" borderId="0" xfId="5" applyNumberFormat="1" applyFont="1" applyAlignment="1">
      <alignment horizontal="center" vertical="center"/>
    </xf>
    <xf numFmtId="0" fontId="35" fillId="14" borderId="45" xfId="5" applyFont="1" applyFill="1" applyBorder="1" applyAlignment="1">
      <alignment horizontal="center" vertical="center"/>
    </xf>
    <xf numFmtId="49" fontId="35" fillId="14" borderId="45" xfId="5" applyNumberFormat="1" applyFont="1" applyFill="1" applyBorder="1" applyAlignment="1">
      <alignment horizontal="center" vertical="center"/>
    </xf>
    <xf numFmtId="49" fontId="37" fillId="14" borderId="45" xfId="5" applyNumberFormat="1" applyFont="1" applyFill="1" applyBorder="1" applyAlignment="1">
      <alignment horizontal="center" vertical="center"/>
    </xf>
    <xf numFmtId="0" fontId="35" fillId="14" borderId="45" xfId="5" applyFont="1" applyFill="1" applyBorder="1" applyAlignment="1">
      <alignment horizontal="left" vertical="center"/>
    </xf>
    <xf numFmtId="165" fontId="35" fillId="14" borderId="45" xfId="4" applyNumberFormat="1" applyFont="1" applyFill="1" applyBorder="1" applyAlignment="1">
      <alignment horizontal="right" vertical="center"/>
    </xf>
    <xf numFmtId="10" fontId="35" fillId="14" borderId="45" xfId="3" applyNumberFormat="1" applyFont="1" applyFill="1" applyBorder="1" applyAlignment="1">
      <alignment horizontal="right" vertical="center"/>
    </xf>
    <xf numFmtId="0" fontId="35" fillId="15" borderId="45" xfId="5" applyFont="1" applyFill="1" applyBorder="1" applyAlignment="1">
      <alignment horizontal="center" vertical="center"/>
    </xf>
    <xf numFmtId="49" fontId="35" fillId="15" borderId="45" xfId="5" applyNumberFormat="1" applyFont="1" applyFill="1" applyBorder="1" applyAlignment="1">
      <alignment horizontal="center" vertical="center"/>
    </xf>
    <xf numFmtId="49" fontId="37" fillId="15" borderId="45" xfId="5" applyNumberFormat="1" applyFont="1" applyFill="1" applyBorder="1" applyAlignment="1">
      <alignment horizontal="center" vertical="center"/>
    </xf>
    <xf numFmtId="0" fontId="35" fillId="15" borderId="45" xfId="5" applyFont="1" applyFill="1" applyBorder="1" applyAlignment="1">
      <alignment horizontal="left" vertical="center"/>
    </xf>
    <xf numFmtId="165" fontId="35" fillId="15" borderId="45" xfId="4" applyNumberFormat="1" applyFont="1" applyFill="1" applyBorder="1" applyAlignment="1">
      <alignment horizontal="right" vertical="center"/>
    </xf>
    <xf numFmtId="10" fontId="35" fillId="15" borderId="45" xfId="3" applyNumberFormat="1" applyFont="1" applyFill="1" applyBorder="1" applyAlignment="1">
      <alignment horizontal="right" vertical="center"/>
    </xf>
    <xf numFmtId="0" fontId="35" fillId="16" borderId="45" xfId="5" applyFont="1" applyFill="1" applyBorder="1" applyAlignment="1">
      <alignment horizontal="center" vertical="center"/>
    </xf>
    <xf numFmtId="49" fontId="35" fillId="16" borderId="45" xfId="5" applyNumberFormat="1" applyFont="1" applyFill="1" applyBorder="1" applyAlignment="1">
      <alignment horizontal="center" vertical="center"/>
    </xf>
    <xf numFmtId="49" fontId="37" fillId="16" borderId="45" xfId="5" applyNumberFormat="1" applyFont="1" applyFill="1" applyBorder="1" applyAlignment="1">
      <alignment horizontal="center" vertical="center"/>
    </xf>
    <xf numFmtId="0" fontId="35" fillId="16" borderId="45" xfId="5" applyFont="1" applyFill="1" applyBorder="1" applyAlignment="1">
      <alignment horizontal="left" vertical="center"/>
    </xf>
    <xf numFmtId="165" fontId="35" fillId="16" borderId="45" xfId="4" applyNumberFormat="1" applyFont="1" applyFill="1" applyBorder="1" applyAlignment="1">
      <alignment horizontal="right" vertical="center"/>
    </xf>
    <xf numFmtId="10" fontId="35" fillId="16" borderId="45" xfId="3" applyNumberFormat="1" applyFont="1" applyFill="1" applyBorder="1" applyAlignment="1">
      <alignment horizontal="right" vertical="center"/>
    </xf>
    <xf numFmtId="49" fontId="35" fillId="0" borderId="45" xfId="5" applyNumberFormat="1" applyFont="1" applyBorder="1" applyAlignment="1">
      <alignment horizontal="center" vertical="center"/>
    </xf>
    <xf numFmtId="49" fontId="37" fillId="0" borderId="45" xfId="5" applyNumberFormat="1" applyFont="1" applyBorder="1" applyAlignment="1">
      <alignment horizontal="center" vertical="center"/>
    </xf>
    <xf numFmtId="0" fontId="35" fillId="0" borderId="45" xfId="5" applyFont="1" applyBorder="1" applyAlignment="1">
      <alignment horizontal="left" vertical="center"/>
    </xf>
    <xf numFmtId="165" fontId="35" fillId="0" borderId="45" xfId="4" applyNumberFormat="1" applyFont="1" applyBorder="1" applyAlignment="1">
      <alignment horizontal="right" vertical="center"/>
    </xf>
    <xf numFmtId="10" fontId="35" fillId="0" borderId="45" xfId="3" applyNumberFormat="1" applyFont="1" applyBorder="1" applyAlignment="1">
      <alignment horizontal="right" vertical="center"/>
    </xf>
    <xf numFmtId="0" fontId="35" fillId="0" borderId="45" xfId="5" applyFont="1" applyBorder="1" applyAlignment="1">
      <alignment horizontal="center" vertical="center"/>
    </xf>
    <xf numFmtId="0" fontId="37" fillId="0" borderId="45" xfId="5" applyFont="1" applyBorder="1" applyAlignment="1">
      <alignment horizontal="left" vertical="center"/>
    </xf>
    <xf numFmtId="165" fontId="37" fillId="0" borderId="45" xfId="4" applyNumberFormat="1" applyFont="1" applyBorder="1" applyAlignment="1">
      <alignment horizontal="right" vertical="center"/>
    </xf>
    <xf numFmtId="10" fontId="37" fillId="0" borderId="45" xfId="3" applyNumberFormat="1" applyFont="1" applyBorder="1" applyAlignment="1">
      <alignment horizontal="right" vertical="center"/>
    </xf>
    <xf numFmtId="0" fontId="37" fillId="0" borderId="45" xfId="5" applyFont="1" applyBorder="1" applyAlignment="1">
      <alignment horizontal="center" vertical="center"/>
    </xf>
    <xf numFmtId="165" fontId="35" fillId="0" borderId="45" xfId="4" applyNumberFormat="1" applyFont="1" applyFill="1" applyBorder="1" applyAlignment="1">
      <alignment horizontal="right" vertical="center"/>
    </xf>
    <xf numFmtId="10" fontId="35" fillId="0" borderId="45" xfId="3" applyNumberFormat="1" applyFont="1" applyFill="1" applyBorder="1" applyAlignment="1">
      <alignment horizontal="right" vertical="center"/>
    </xf>
    <xf numFmtId="165" fontId="37" fillId="0" borderId="45" xfId="4" applyNumberFormat="1" applyFont="1" applyFill="1" applyBorder="1" applyAlignment="1">
      <alignment horizontal="right" vertical="center"/>
    </xf>
    <xf numFmtId="10" fontId="37" fillId="0" borderId="45" xfId="3" applyNumberFormat="1" applyFont="1" applyFill="1" applyBorder="1" applyAlignment="1">
      <alignment horizontal="right" vertical="center"/>
    </xf>
    <xf numFmtId="49" fontId="37" fillId="0" borderId="0" xfId="5" applyNumberFormat="1" applyFont="1" applyAlignment="1">
      <alignment horizontal="center" vertical="center"/>
    </xf>
    <xf numFmtId="43" fontId="35" fillId="16" borderId="45" xfId="4" applyFont="1" applyFill="1" applyBorder="1" applyAlignment="1">
      <alignment horizontal="right" vertical="center"/>
    </xf>
    <xf numFmtId="43" fontId="35" fillId="0" borderId="45" xfId="4" applyFont="1" applyFill="1" applyBorder="1" applyAlignment="1">
      <alignment horizontal="right" vertical="center"/>
    </xf>
    <xf numFmtId="43" fontId="37" fillId="0" borderId="45" xfId="4" applyFont="1" applyFill="1" applyBorder="1" applyAlignment="1">
      <alignment horizontal="right" vertical="center"/>
    </xf>
    <xf numFmtId="43" fontId="35" fillId="0" borderId="45" xfId="4" applyFont="1" applyBorder="1" applyAlignment="1">
      <alignment horizontal="right" vertical="center"/>
    </xf>
    <xf numFmtId="43" fontId="37" fillId="0" borderId="45" xfId="4" applyFont="1" applyBorder="1" applyAlignment="1">
      <alignment horizontal="right" vertical="center"/>
    </xf>
    <xf numFmtId="43" fontId="35" fillId="15" borderId="45" xfId="4" applyFont="1" applyFill="1" applyBorder="1" applyAlignment="1">
      <alignment horizontal="right" vertical="center"/>
    </xf>
    <xf numFmtId="43" fontId="35" fillId="0" borderId="45" xfId="4" applyFont="1" applyBorder="1" applyAlignment="1">
      <alignment horizontal="left" vertical="center"/>
    </xf>
    <xf numFmtId="10" fontId="35" fillId="0" borderId="45" xfId="3" applyNumberFormat="1" applyFont="1" applyBorder="1" applyAlignment="1">
      <alignment horizontal="left" vertical="center"/>
    </xf>
    <xf numFmtId="43" fontId="37" fillId="0" borderId="45" xfId="4" applyFont="1" applyBorder="1" applyAlignment="1">
      <alignment horizontal="left" vertical="center"/>
    </xf>
    <xf numFmtId="10" fontId="37" fillId="0" borderId="45" xfId="3" applyNumberFormat="1" applyFont="1" applyBorder="1" applyAlignment="1">
      <alignment horizontal="left" vertical="center"/>
    </xf>
    <xf numFmtId="43" fontId="35" fillId="16" borderId="45" xfId="4" applyFont="1" applyFill="1" applyBorder="1" applyAlignment="1">
      <alignment horizontal="left" vertical="center"/>
    </xf>
    <xf numFmtId="10" fontId="35" fillId="16" borderId="45" xfId="3" applyNumberFormat="1" applyFont="1" applyFill="1" applyBorder="1" applyAlignment="1">
      <alignment horizontal="left" vertical="center"/>
    </xf>
    <xf numFmtId="49" fontId="35" fillId="15" borderId="45" xfId="5" applyNumberFormat="1" applyFont="1" applyFill="1" applyBorder="1" applyAlignment="1">
      <alignment horizontal="left" vertical="center"/>
    </xf>
    <xf numFmtId="43" fontId="35" fillId="15" borderId="45" xfId="4" applyFont="1" applyFill="1" applyBorder="1" applyAlignment="1">
      <alignment horizontal="center" vertical="center"/>
    </xf>
    <xf numFmtId="10" fontId="35" fillId="15" borderId="45" xfId="3" applyNumberFormat="1" applyFont="1" applyFill="1" applyBorder="1" applyAlignment="1">
      <alignment horizontal="center" vertical="center"/>
    </xf>
    <xf numFmtId="43" fontId="37" fillId="0" borderId="45" xfId="4" applyFont="1" applyFill="1" applyBorder="1" applyAlignment="1">
      <alignment horizontal="left" vertical="center"/>
    </xf>
    <xf numFmtId="10" fontId="37" fillId="0" borderId="45" xfId="3" applyNumberFormat="1" applyFont="1" applyFill="1" applyBorder="1" applyAlignment="1">
      <alignment horizontal="left" vertical="center"/>
    </xf>
    <xf numFmtId="43" fontId="35" fillId="0" borderId="45" xfId="4" applyFont="1" applyFill="1" applyBorder="1" applyAlignment="1">
      <alignment horizontal="left" vertical="center"/>
    </xf>
    <xf numFmtId="10" fontId="35" fillId="0" borderId="45" xfId="3" applyNumberFormat="1" applyFont="1" applyFill="1" applyBorder="1" applyAlignment="1">
      <alignment horizontal="left" vertical="center"/>
    </xf>
    <xf numFmtId="43" fontId="35" fillId="15" borderId="45" xfId="4" applyFont="1" applyFill="1" applyBorder="1" applyAlignment="1">
      <alignment horizontal="left" vertical="center"/>
    </xf>
    <xf numFmtId="10" fontId="35" fillId="15" borderId="45" xfId="3" applyNumberFormat="1" applyFont="1" applyFill="1" applyBorder="1" applyAlignment="1">
      <alignment horizontal="left" vertical="center"/>
    </xf>
    <xf numFmtId="0" fontId="38" fillId="0" borderId="0" xfId="0" applyFont="1" applyAlignment="1">
      <alignment horizontal="left" vertical="center"/>
    </xf>
    <xf numFmtId="0" fontId="32" fillId="12" borderId="12" xfId="5" applyFont="1" applyFill="1" applyBorder="1" applyAlignment="1">
      <alignment horizontal="center" vertical="center" wrapText="1"/>
    </xf>
    <xf numFmtId="49" fontId="39" fillId="0" borderId="42" xfId="5" quotePrefix="1" applyNumberFormat="1" applyFont="1" applyBorder="1" applyAlignment="1">
      <alignment horizontal="left" vertical="center" wrapText="1"/>
    </xf>
    <xf numFmtId="0" fontId="40" fillId="0" borderId="42" xfId="0" quotePrefix="1" applyFont="1" applyBorder="1" applyAlignment="1">
      <alignment horizontal="left" vertical="center" wrapText="1"/>
    </xf>
    <xf numFmtId="49" fontId="39" fillId="0" borderId="45" xfId="5" applyNumberFormat="1" applyFont="1" applyBorder="1" applyAlignment="1">
      <alignment horizontal="left" vertical="center" wrapText="1"/>
    </xf>
    <xf numFmtId="0" fontId="40" fillId="0" borderId="42" xfId="0" applyFont="1" applyBorder="1" applyAlignment="1">
      <alignment vertical="center" wrapText="1"/>
    </xf>
    <xf numFmtId="49" fontId="32" fillId="0" borderId="45" xfId="5" applyNumberFormat="1" applyFont="1" applyBorder="1" applyAlignment="1">
      <alignment horizontal="left" vertical="center" wrapText="1"/>
    </xf>
    <xf numFmtId="49" fontId="39" fillId="9" borderId="45" xfId="5" applyNumberFormat="1" applyFont="1" applyFill="1" applyBorder="1" applyAlignment="1">
      <alignment horizontal="left" vertical="center" wrapText="1"/>
    </xf>
    <xf numFmtId="49" fontId="39" fillId="9" borderId="46" xfId="5" applyNumberFormat="1" applyFont="1" applyFill="1" applyBorder="1" applyAlignment="1">
      <alignment horizontal="left" vertical="center" wrapText="1"/>
    </xf>
    <xf numFmtId="49" fontId="39" fillId="0" borderId="46" xfId="5" applyNumberFormat="1" applyFont="1" applyBorder="1" applyAlignment="1">
      <alignment horizontal="left" vertical="center" wrapText="1"/>
    </xf>
    <xf numFmtId="49" fontId="38" fillId="0" borderId="45" xfId="5" quotePrefix="1" applyNumberFormat="1" applyFont="1" applyBorder="1" applyAlignment="1">
      <alignment horizontal="left" vertical="center" wrapText="1"/>
    </xf>
    <xf numFmtId="0" fontId="38" fillId="0" borderId="0" xfId="0" applyFont="1"/>
    <xf numFmtId="0" fontId="29" fillId="0" borderId="16" xfId="2" applyFont="1" applyBorder="1" applyAlignment="1" applyProtection="1">
      <alignment horizontal="left" vertical="top"/>
    </xf>
    <xf numFmtId="9" fontId="4" fillId="3" borderId="7" xfId="0" applyNumberFormat="1" applyFont="1" applyFill="1" applyBorder="1" applyAlignment="1" applyProtection="1">
      <alignment vertical="top"/>
      <protection locked="0"/>
    </xf>
    <xf numFmtId="166" fontId="4" fillId="6" borderId="8" xfId="0" applyNumberFormat="1" applyFont="1" applyFill="1" applyBorder="1" applyAlignment="1">
      <alignment horizontal="center" vertical="top"/>
    </xf>
    <xf numFmtId="10" fontId="4" fillId="4" borderId="8" xfId="0" applyNumberFormat="1" applyFont="1" applyFill="1" applyBorder="1" applyAlignment="1">
      <alignment horizontal="center" vertical="top"/>
    </xf>
    <xf numFmtId="10" fontId="25" fillId="6" borderId="8" xfId="0" applyNumberFormat="1" applyFont="1" applyFill="1" applyBorder="1" applyAlignment="1">
      <alignment horizontal="center" vertical="top"/>
    </xf>
    <xf numFmtId="0" fontId="37" fillId="17" borderId="45" xfId="5" applyFont="1" applyFill="1" applyBorder="1" applyAlignment="1">
      <alignment horizontal="center" vertical="center"/>
    </xf>
    <xf numFmtId="49" fontId="37" fillId="17" borderId="45" xfId="5" applyNumberFormat="1" applyFont="1" applyFill="1" applyBorder="1" applyAlignment="1">
      <alignment horizontal="center" vertical="center"/>
    </xf>
    <xf numFmtId="49" fontId="35" fillId="17" borderId="45" xfId="5" applyNumberFormat="1" applyFont="1" applyFill="1" applyBorder="1" applyAlignment="1">
      <alignment horizontal="center" vertical="center"/>
    </xf>
    <xf numFmtId="0" fontId="35" fillId="17" borderId="45" xfId="5" applyFont="1" applyFill="1" applyBorder="1" applyAlignment="1">
      <alignment horizontal="left" vertical="center"/>
    </xf>
    <xf numFmtId="43" fontId="37" fillId="17" borderId="45" xfId="4" applyFont="1" applyFill="1" applyBorder="1" applyAlignment="1">
      <alignment horizontal="right" vertical="center"/>
    </xf>
    <xf numFmtId="10" fontId="37" fillId="17" borderId="45" xfId="3" applyNumberFormat="1" applyFont="1" applyFill="1" applyBorder="1" applyAlignment="1">
      <alignment horizontal="right" vertical="center"/>
    </xf>
    <xf numFmtId="49" fontId="35" fillId="17" borderId="0" xfId="5" applyNumberFormat="1" applyFont="1" applyFill="1" applyAlignment="1">
      <alignment horizontal="center" vertical="center"/>
    </xf>
    <xf numFmtId="0" fontId="0" fillId="17" borderId="0" xfId="0" applyFill="1"/>
    <xf numFmtId="0" fontId="35" fillId="17" borderId="45" xfId="5" applyFont="1" applyFill="1" applyBorder="1" applyAlignment="1">
      <alignment horizontal="center" vertical="center"/>
    </xf>
    <xf numFmtId="43" fontId="35" fillId="17" borderId="45" xfId="4" applyFont="1" applyFill="1" applyBorder="1" applyAlignment="1">
      <alignment horizontal="right" vertical="center"/>
    </xf>
    <xf numFmtId="10" fontId="35" fillId="17" borderId="45" xfId="3" applyNumberFormat="1" applyFont="1" applyFill="1" applyBorder="1" applyAlignment="1">
      <alignment horizontal="right" vertical="center"/>
    </xf>
    <xf numFmtId="0" fontId="22" fillId="17" borderId="0" xfId="0" applyFont="1" applyFill="1"/>
    <xf numFmtId="0" fontId="35" fillId="9" borderId="45" xfId="5" applyFont="1" applyFill="1" applyBorder="1" applyAlignment="1">
      <alignment horizontal="left" vertical="center"/>
    </xf>
    <xf numFmtId="0" fontId="37" fillId="9" borderId="45" xfId="5" applyFont="1" applyFill="1" applyBorder="1" applyAlignment="1">
      <alignment horizontal="left" vertical="center"/>
    </xf>
    <xf numFmtId="0" fontId="30" fillId="11" borderId="15" xfId="5" applyFont="1" applyFill="1" applyBorder="1" applyAlignment="1">
      <alignment horizontal="left" vertical="center" wrapText="1"/>
    </xf>
    <xf numFmtId="0" fontId="0" fillId="0" borderId="16" xfId="0" applyBorder="1" applyAlignment="1" applyProtection="1">
      <alignment horizontal="center" vertical="center"/>
      <protection locked="0"/>
    </xf>
    <xf numFmtId="0" fontId="14" fillId="0" borderId="16" xfId="0" applyFont="1" applyBorder="1" applyAlignment="1">
      <alignment horizontal="left" vertical="center"/>
    </xf>
    <xf numFmtId="0" fontId="24" fillId="0" borderId="16" xfId="2" applyFont="1" applyBorder="1" applyAlignment="1" applyProtection="1">
      <alignment horizontal="left" vertical="center" wrapText="1"/>
    </xf>
    <xf numFmtId="0" fontId="0" fillId="6" borderId="16" xfId="3" applyNumberFormat="1" applyFont="1" applyFill="1" applyBorder="1" applyAlignment="1" applyProtection="1">
      <alignment horizontal="left" vertical="center"/>
    </xf>
    <xf numFmtId="0" fontId="7" fillId="6" borderId="16" xfId="3" applyNumberFormat="1" applyFont="1" applyFill="1" applyBorder="1" applyAlignment="1" applyProtection="1">
      <alignment horizontal="left" vertical="center" wrapText="1"/>
      <protection hidden="1"/>
    </xf>
    <xf numFmtId="0" fontId="7" fillId="6" borderId="18" xfId="3" applyNumberFormat="1" applyFont="1" applyFill="1" applyBorder="1" applyAlignment="1" applyProtection="1">
      <alignment horizontal="left" vertical="center" wrapText="1"/>
      <protection hidden="1"/>
    </xf>
    <xf numFmtId="0" fontId="7" fillId="6" borderId="19" xfId="3" applyNumberFormat="1" applyFont="1" applyFill="1" applyBorder="1" applyAlignment="1" applyProtection="1">
      <alignment horizontal="left" vertical="center"/>
    </xf>
    <xf numFmtId="9" fontId="0" fillId="6" borderId="16" xfId="3" applyFont="1" applyFill="1" applyBorder="1" applyAlignment="1" applyProtection="1">
      <alignment horizontal="center" vertical="center"/>
      <protection hidden="1"/>
    </xf>
    <xf numFmtId="9" fontId="0" fillId="6" borderId="16" xfId="3" applyFont="1" applyFill="1" applyBorder="1" applyAlignment="1" applyProtection="1">
      <alignment horizontal="center" vertical="center" wrapText="1"/>
      <protection hidden="1"/>
    </xf>
    <xf numFmtId="0" fontId="17" fillId="0" borderId="35" xfId="2" applyBorder="1" applyAlignment="1">
      <alignment vertical="center"/>
    </xf>
    <xf numFmtId="0" fontId="4" fillId="3" borderId="7"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8" fillId="0" borderId="7" xfId="0" applyFont="1" applyBorder="1" applyAlignment="1">
      <alignment horizontal="center" vertical="center" wrapText="1"/>
    </xf>
    <xf numFmtId="0" fontId="8" fillId="3" borderId="8" xfId="0" applyFont="1" applyFill="1" applyBorder="1" applyAlignment="1" applyProtection="1">
      <alignment vertical="top" wrapText="1"/>
      <protection locked="0"/>
    </xf>
    <xf numFmtId="9" fontId="4" fillId="3" borderId="8" xfId="0" applyNumberFormat="1" applyFont="1" applyFill="1" applyBorder="1" applyAlignment="1" applyProtection="1">
      <alignment vertical="center"/>
      <protection locked="0"/>
    </xf>
    <xf numFmtId="0" fontId="0" fillId="0" borderId="5" xfId="0" applyBorder="1" applyAlignment="1" applyProtection="1">
      <alignment vertical="center"/>
      <protection locked="0"/>
    </xf>
    <xf numFmtId="0" fontId="17" fillId="3" borderId="8" xfId="2" applyFill="1" applyBorder="1" applyAlignment="1" applyProtection="1">
      <alignment horizontal="left" vertical="top" wrapText="1"/>
      <protection locked="0"/>
    </xf>
    <xf numFmtId="0" fontId="8" fillId="3" borderId="8" xfId="0" applyFont="1" applyFill="1" applyBorder="1" applyAlignment="1" applyProtection="1">
      <alignment horizontal="left" vertical="center"/>
      <protection locked="0"/>
    </xf>
    <xf numFmtId="0" fontId="8" fillId="3" borderId="8" xfId="0" applyFont="1" applyFill="1" applyBorder="1" applyAlignment="1" applyProtection="1">
      <alignment vertical="center" wrapText="1"/>
      <protection locked="0"/>
    </xf>
    <xf numFmtId="9" fontId="8" fillId="3" borderId="13" xfId="0" applyNumberFormat="1" applyFont="1" applyFill="1" applyBorder="1" applyAlignment="1" applyProtection="1">
      <alignment horizontal="center" vertical="center" wrapText="1"/>
      <protection locked="0"/>
    </xf>
    <xf numFmtId="0" fontId="8" fillId="3" borderId="12" xfId="0" applyFont="1" applyFill="1" applyBorder="1" applyAlignment="1" applyProtection="1">
      <alignment horizontal="left" vertical="center" wrapText="1"/>
      <protection locked="0"/>
    </xf>
    <xf numFmtId="0" fontId="8" fillId="3" borderId="8" xfId="0" applyFont="1" applyFill="1" applyBorder="1" applyAlignment="1" applyProtection="1">
      <alignment horizontal="left" vertical="center" wrapText="1"/>
      <protection locked="0"/>
    </xf>
    <xf numFmtId="0" fontId="8" fillId="3" borderId="8" xfId="0" applyFont="1" applyFill="1" applyBorder="1" applyAlignment="1" applyProtection="1">
      <alignment horizontal="justify" vertical="center"/>
      <protection locked="0"/>
    </xf>
    <xf numFmtId="0" fontId="0" fillId="0" borderId="0" xfId="0" applyAlignment="1" applyProtection="1">
      <alignment vertical="center"/>
      <protection locked="0"/>
    </xf>
    <xf numFmtId="0" fontId="8" fillId="0" borderId="5" xfId="0" applyFont="1" applyBorder="1" applyAlignment="1" applyProtection="1">
      <alignment vertical="center" wrapText="1"/>
      <protection locked="0"/>
    </xf>
    <xf numFmtId="0" fontId="4" fillId="0" borderId="8" xfId="0" applyFont="1" applyBorder="1" applyAlignment="1" applyProtection="1">
      <alignment horizontal="center" vertical="center" wrapText="1"/>
      <protection locked="0"/>
    </xf>
    <xf numFmtId="0" fontId="0" fillId="0" borderId="13" xfId="0" applyBorder="1" applyAlignment="1" applyProtection="1">
      <alignment vertical="center"/>
      <protection locked="0"/>
    </xf>
    <xf numFmtId="0" fontId="27" fillId="0" borderId="5" xfId="0" applyFont="1" applyBorder="1" applyAlignment="1" applyProtection="1">
      <alignment vertical="center"/>
      <protection locked="0"/>
    </xf>
    <xf numFmtId="9" fontId="8" fillId="3" borderId="8" xfId="0" applyNumberFormat="1" applyFont="1" applyFill="1" applyBorder="1" applyAlignment="1" applyProtection="1">
      <alignment horizontal="center" vertical="center"/>
      <protection locked="0"/>
    </xf>
    <xf numFmtId="9" fontId="4" fillId="3" borderId="8" xfId="0" applyNumberFormat="1" applyFont="1" applyFill="1" applyBorder="1" applyAlignment="1" applyProtection="1">
      <alignment horizontal="center" vertical="center"/>
      <protection locked="0"/>
    </xf>
    <xf numFmtId="0" fontId="8" fillId="6" borderId="8" xfId="0" applyFont="1" applyFill="1" applyBorder="1" applyAlignment="1" applyProtection="1">
      <alignment horizontal="left" vertical="center"/>
      <protection locked="0"/>
    </xf>
    <xf numFmtId="0" fontId="8" fillId="6" borderId="8" xfId="0" applyFont="1" applyFill="1" applyBorder="1" applyAlignment="1" applyProtection="1">
      <alignment horizontal="left" vertical="center" wrapText="1"/>
      <protection locked="0"/>
    </xf>
    <xf numFmtId="0" fontId="44" fillId="0" borderId="1" xfId="0" applyFont="1" applyBorder="1" applyAlignment="1">
      <alignment vertical="top"/>
    </xf>
    <xf numFmtId="0" fontId="4" fillId="0" borderId="0" xfId="0" applyFont="1" applyAlignment="1">
      <alignment vertical="center"/>
    </xf>
    <xf numFmtId="0" fontId="4" fillId="0" borderId="0" xfId="0" applyFont="1" applyAlignment="1">
      <alignment horizontal="center" vertical="center"/>
    </xf>
    <xf numFmtId="0" fontId="0" fillId="3" borderId="16" xfId="0" applyFill="1" applyBorder="1" applyAlignment="1">
      <alignment vertical="center"/>
    </xf>
    <xf numFmtId="0" fontId="20" fillId="0" borderId="0" xfId="0" applyFont="1" applyAlignment="1">
      <alignment vertical="center"/>
    </xf>
    <xf numFmtId="0" fontId="0" fillId="7" borderId="16" xfId="0" applyFill="1" applyBorder="1" applyAlignment="1">
      <alignment vertical="center"/>
    </xf>
    <xf numFmtId="0" fontId="4" fillId="0" borderId="0" xfId="0" applyFont="1" applyAlignment="1">
      <alignment horizontal="right" vertical="center"/>
    </xf>
    <xf numFmtId="9" fontId="7" fillId="6" borderId="12" xfId="0" applyNumberFormat="1" applyFont="1" applyFill="1" applyBorder="1" applyAlignment="1">
      <alignment horizontal="center" vertical="center"/>
    </xf>
    <xf numFmtId="0" fontId="0" fillId="6" borderId="20" xfId="0" applyFill="1" applyBorder="1" applyAlignment="1">
      <alignment vertical="center"/>
    </xf>
    <xf numFmtId="0" fontId="17" fillId="0" borderId="0" xfId="2" applyFill="1" applyAlignment="1">
      <alignment vertical="center"/>
    </xf>
    <xf numFmtId="0" fontId="0" fillId="0" borderId="0" xfId="0" applyAlignment="1">
      <alignment horizontal="center" vertical="center"/>
    </xf>
    <xf numFmtId="0" fontId="7" fillId="0" borderId="0" xfId="0" applyFont="1" applyAlignment="1">
      <alignment vertical="center" wrapText="1"/>
    </xf>
    <xf numFmtId="0" fontId="4" fillId="3" borderId="16" xfId="0" applyFont="1" applyFill="1" applyBorder="1" applyAlignment="1" applyProtection="1">
      <alignment horizontal="center" vertical="center" wrapText="1"/>
      <protection locked="0"/>
    </xf>
    <xf numFmtId="0" fontId="17" fillId="0" borderId="0" xfId="2" applyFill="1" applyBorder="1" applyAlignment="1">
      <alignment vertical="center"/>
    </xf>
    <xf numFmtId="0" fontId="7" fillId="0" borderId="0" xfId="0" applyFont="1" applyAlignment="1">
      <alignment horizontal="center" vertical="center"/>
    </xf>
    <xf numFmtId="0" fontId="7" fillId="3" borderId="16"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vertical="center" wrapText="1"/>
    </xf>
    <xf numFmtId="0" fontId="0" fillId="0" borderId="6" xfId="0" applyBorder="1" applyAlignment="1">
      <alignment vertical="center"/>
    </xf>
    <xf numFmtId="0" fontId="4" fillId="0" borderId="8" xfId="0" applyFont="1" applyBorder="1" applyAlignment="1">
      <alignment vertical="center" wrapText="1"/>
    </xf>
    <xf numFmtId="0" fontId="4" fillId="0" borderId="9" xfId="0" applyFont="1" applyBorder="1" applyAlignment="1">
      <alignment horizontal="center" vertical="center" wrapText="1"/>
    </xf>
    <xf numFmtId="0" fontId="4" fillId="0" borderId="7" xfId="0" applyFont="1" applyBorder="1" applyAlignment="1">
      <alignment vertical="center"/>
    </xf>
    <xf numFmtId="0" fontId="0" fillId="0" borderId="1" xfId="0" applyBorder="1" applyAlignment="1" applyProtection="1">
      <alignment vertical="center"/>
      <protection locked="0"/>
    </xf>
    <xf numFmtId="9" fontId="4" fillId="4" borderId="12" xfId="3" applyFont="1" applyFill="1" applyBorder="1" applyAlignment="1" applyProtection="1">
      <alignment horizontal="center" vertical="center"/>
    </xf>
    <xf numFmtId="0" fontId="4" fillId="0" borderId="13" xfId="0" applyFont="1" applyBorder="1" applyAlignment="1">
      <alignment vertical="center" wrapText="1"/>
    </xf>
    <xf numFmtId="0" fontId="4" fillId="0" borderId="10" xfId="0" applyFont="1" applyBorder="1" applyAlignment="1">
      <alignment horizontal="center" vertical="center" wrapText="1"/>
    </xf>
    <xf numFmtId="0" fontId="5" fillId="0" borderId="8" xfId="0" applyFont="1" applyBorder="1" applyAlignment="1">
      <alignment vertical="center" wrapText="1"/>
    </xf>
    <xf numFmtId="0" fontId="4" fillId="5" borderId="8" xfId="0" applyFont="1" applyFill="1" applyBorder="1" applyAlignment="1" applyProtection="1">
      <alignment vertical="center" wrapText="1"/>
      <protection locked="0"/>
    </xf>
    <xf numFmtId="0" fontId="12" fillId="0" borderId="14" xfId="0" applyFont="1" applyBorder="1" applyAlignment="1">
      <alignment vertical="center"/>
    </xf>
    <xf numFmtId="0" fontId="12" fillId="0" borderId="15" xfId="0" applyFont="1" applyBorder="1" applyAlignment="1">
      <alignment vertical="center"/>
    </xf>
    <xf numFmtId="0" fontId="12" fillId="0" borderId="7" xfId="0" applyFont="1" applyBorder="1" applyAlignment="1">
      <alignment vertical="center"/>
    </xf>
    <xf numFmtId="0" fontId="4" fillId="0" borderId="8" xfId="0" applyFont="1" applyBorder="1" applyAlignment="1">
      <alignment vertical="center"/>
    </xf>
    <xf numFmtId="17" fontId="4" fillId="0" borderId="13" xfId="0" applyNumberFormat="1" applyFont="1" applyBorder="1" applyAlignment="1">
      <alignment vertical="center" wrapText="1"/>
    </xf>
    <xf numFmtId="0" fontId="6" fillId="0" borderId="8" xfId="0" applyFont="1" applyBorder="1" applyAlignment="1">
      <alignment vertical="center" wrapText="1"/>
    </xf>
    <xf numFmtId="0" fontId="3" fillId="0" borderId="1" xfId="0" applyFont="1" applyBorder="1" applyAlignment="1">
      <alignment vertical="center" wrapText="1"/>
    </xf>
    <xf numFmtId="0" fontId="3" fillId="0" borderId="0" xfId="0" applyFont="1" applyAlignment="1">
      <alignment horizontal="center" vertical="center" wrapText="1"/>
    </xf>
    <xf numFmtId="0" fontId="4" fillId="0" borderId="12" xfId="0" applyFont="1" applyBorder="1" applyAlignment="1">
      <alignment vertical="center" wrapText="1"/>
    </xf>
    <xf numFmtId="0" fontId="4" fillId="0" borderId="14" xfId="0" applyFont="1" applyBorder="1" applyAlignment="1">
      <alignment horizontal="center" vertical="center" wrapText="1"/>
    </xf>
    <xf numFmtId="0" fontId="17" fillId="3" borderId="8" xfId="2" applyFill="1" applyBorder="1" applyAlignment="1" applyProtection="1">
      <alignment vertical="top" wrapText="1"/>
      <protection locked="0"/>
    </xf>
    <xf numFmtId="0" fontId="4" fillId="3" borderId="8" xfId="0" applyFont="1" applyFill="1" applyBorder="1" applyAlignment="1" applyProtection="1">
      <alignment vertical="center" wrapText="1"/>
      <protection locked="0"/>
    </xf>
    <xf numFmtId="0" fontId="7" fillId="0" borderId="0" xfId="0" applyFont="1"/>
    <xf numFmtId="0" fontId="8" fillId="18" borderId="47" xfId="0" applyFont="1" applyFill="1" applyBorder="1" applyAlignment="1">
      <alignment vertical="center" wrapText="1"/>
    </xf>
    <xf numFmtId="0" fontId="4" fillId="3" borderId="7" xfId="0" applyFont="1" applyFill="1" applyBorder="1" applyAlignment="1" applyProtection="1">
      <alignment horizontal="center" vertical="center" wrapText="1"/>
      <protection locked="0"/>
    </xf>
    <xf numFmtId="3" fontId="4" fillId="3" borderId="8" xfId="0" applyNumberFormat="1" applyFont="1" applyFill="1" applyBorder="1" applyAlignment="1" applyProtection="1">
      <alignment vertical="center"/>
      <protection locked="0"/>
    </xf>
    <xf numFmtId="3" fontId="4" fillId="3" borderId="8" xfId="0" applyNumberFormat="1" applyFont="1" applyFill="1" applyBorder="1" applyAlignment="1" applyProtection="1">
      <alignment horizontal="center" vertical="center"/>
      <protection locked="0"/>
    </xf>
    <xf numFmtId="3" fontId="4" fillId="4" borderId="8" xfId="0" applyNumberFormat="1" applyFont="1" applyFill="1" applyBorder="1" applyAlignment="1" applyProtection="1">
      <alignment horizontal="center" vertical="center"/>
      <protection locked="0"/>
    </xf>
    <xf numFmtId="0" fontId="4" fillId="0" borderId="4" xfId="0" applyFont="1" applyBorder="1" applyAlignment="1">
      <alignment vertical="center" wrapText="1"/>
    </xf>
    <xf numFmtId="0" fontId="44" fillId="0" borderId="0" xfId="0" applyFont="1" applyAlignment="1">
      <alignment vertical="top"/>
    </xf>
    <xf numFmtId="1" fontId="4" fillId="4" borderId="12" xfId="3" applyNumberFormat="1" applyFont="1" applyFill="1" applyBorder="1" applyAlignment="1">
      <alignment horizontal="center" vertical="center"/>
    </xf>
    <xf numFmtId="0" fontId="4" fillId="4" borderId="8" xfId="0" applyFont="1" applyFill="1" applyBorder="1" applyAlignment="1">
      <alignment horizontal="center" vertical="center"/>
    </xf>
    <xf numFmtId="0" fontId="4" fillId="3" borderId="12" xfId="0" applyFont="1" applyFill="1" applyBorder="1" applyAlignment="1" applyProtection="1">
      <alignment vertical="center"/>
      <protection locked="0"/>
    </xf>
    <xf numFmtId="3" fontId="4" fillId="3" borderId="8" xfId="0" applyNumberFormat="1" applyFont="1" applyFill="1" applyBorder="1" applyAlignment="1" applyProtection="1">
      <alignment horizontal="center" vertical="center" wrapText="1"/>
      <protection locked="0"/>
    </xf>
    <xf numFmtId="3" fontId="4" fillId="3" borderId="13" xfId="0" applyNumberFormat="1" applyFont="1" applyFill="1" applyBorder="1" applyAlignment="1" applyProtection="1">
      <alignment horizontal="center" vertical="center" wrapText="1"/>
      <protection locked="0"/>
    </xf>
    <xf numFmtId="0" fontId="48" fillId="3" borderId="8" xfId="2" applyFont="1" applyFill="1" applyBorder="1" applyAlignment="1" applyProtection="1">
      <alignment vertical="top" wrapText="1"/>
      <protection locked="0"/>
    </xf>
    <xf numFmtId="0" fontId="49" fillId="0" borderId="8" xfId="0" applyFont="1" applyBorder="1" applyAlignment="1">
      <alignment vertical="top"/>
    </xf>
    <xf numFmtId="0" fontId="49" fillId="0" borderId="8" xfId="0" applyFont="1" applyBorder="1" applyAlignment="1">
      <alignment vertical="top" wrapText="1"/>
    </xf>
    <xf numFmtId="0" fontId="4" fillId="0" borderId="7" xfId="0" applyFont="1" applyBorder="1" applyAlignment="1">
      <alignment horizontal="center" vertical="center"/>
    </xf>
    <xf numFmtId="9" fontId="7" fillId="3" borderId="16" xfId="0" applyNumberFormat="1" applyFont="1" applyFill="1" applyBorder="1" applyAlignment="1">
      <alignment horizontal="right" vertical="center"/>
    </xf>
    <xf numFmtId="9" fontId="4" fillId="4" borderId="8" xfId="3" applyFont="1" applyFill="1" applyBorder="1" applyAlignment="1">
      <alignment horizontal="center" vertical="center" wrapText="1"/>
    </xf>
    <xf numFmtId="3" fontId="4" fillId="3" borderId="8" xfId="0" applyNumberFormat="1" applyFont="1" applyFill="1" applyBorder="1" applyAlignment="1" applyProtection="1">
      <alignment vertical="center" wrapText="1"/>
      <protection locked="0"/>
    </xf>
    <xf numFmtId="0" fontId="4" fillId="3" borderId="8"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protection locked="0"/>
    </xf>
    <xf numFmtId="0" fontId="4" fillId="9" borderId="8" xfId="0" applyFont="1" applyFill="1" applyBorder="1" applyAlignment="1">
      <alignment vertical="top" wrapText="1"/>
    </xf>
    <xf numFmtId="0" fontId="4" fillId="3" borderId="8" xfId="0" applyFont="1" applyFill="1" applyBorder="1" applyAlignment="1">
      <alignment horizontal="left" vertical="top" wrapText="1"/>
    </xf>
    <xf numFmtId="164" fontId="4" fillId="4" borderId="8" xfId="0" applyNumberFormat="1" applyFont="1" applyFill="1" applyBorder="1" applyAlignment="1">
      <alignment horizontal="center" vertical="center"/>
    </xf>
    <xf numFmtId="164" fontId="4" fillId="3" borderId="8" xfId="0" applyNumberFormat="1" applyFont="1" applyFill="1" applyBorder="1" applyAlignment="1" applyProtection="1">
      <alignment horizontal="center" vertical="center"/>
      <protection locked="0"/>
    </xf>
    <xf numFmtId="3" fontId="4" fillId="3" borderId="7" xfId="0" applyNumberFormat="1" applyFont="1" applyFill="1" applyBorder="1" applyAlignment="1" applyProtection="1">
      <alignment horizontal="center" vertical="center" wrapText="1"/>
      <protection locked="0"/>
    </xf>
    <xf numFmtId="3" fontId="4" fillId="4" borderId="8" xfId="0" applyNumberFormat="1" applyFont="1" applyFill="1" applyBorder="1" applyAlignment="1">
      <alignment horizontal="center" vertical="center"/>
    </xf>
    <xf numFmtId="3" fontId="4" fillId="4" borderId="8" xfId="0" applyNumberFormat="1" applyFont="1" applyFill="1" applyBorder="1" applyAlignment="1">
      <alignment horizontal="center" vertical="center" wrapText="1"/>
    </xf>
    <xf numFmtId="9" fontId="4" fillId="3" borderId="12" xfId="0" applyNumberFormat="1" applyFont="1" applyFill="1" applyBorder="1" applyAlignment="1" applyProtection="1">
      <alignment horizontal="center" vertical="center"/>
      <protection locked="0"/>
    </xf>
    <xf numFmtId="9" fontId="4" fillId="4" borderId="12" xfId="0" applyNumberFormat="1" applyFont="1" applyFill="1" applyBorder="1" applyAlignment="1">
      <alignment horizontal="center" vertical="center"/>
    </xf>
    <xf numFmtId="9" fontId="4" fillId="4" borderId="8" xfId="3" applyFont="1" applyFill="1" applyBorder="1" applyAlignment="1" applyProtection="1">
      <alignment horizontal="center" vertical="center"/>
    </xf>
    <xf numFmtId="0" fontId="4" fillId="3" borderId="15" xfId="0" applyFont="1" applyFill="1" applyBorder="1" applyAlignment="1" applyProtection="1">
      <alignment horizontal="center" vertical="center" wrapText="1"/>
      <protection locked="0"/>
    </xf>
    <xf numFmtId="0" fontId="7" fillId="3" borderId="12" xfId="0" applyFont="1" applyFill="1" applyBorder="1" applyAlignment="1">
      <alignment vertical="center" wrapText="1"/>
    </xf>
    <xf numFmtId="0" fontId="4" fillId="6" borderId="8" xfId="0" applyFont="1" applyFill="1" applyBorder="1" applyAlignment="1">
      <alignment horizontal="center" vertical="center" wrapText="1"/>
    </xf>
    <xf numFmtId="0" fontId="4" fillId="0" borderId="8" xfId="0" applyFont="1" applyBorder="1" applyAlignment="1">
      <alignment horizontal="center" vertical="center"/>
    </xf>
    <xf numFmtId="9" fontId="4" fillId="4" borderId="8" xfId="0" applyNumberFormat="1" applyFont="1" applyFill="1" applyBorder="1" applyAlignment="1">
      <alignment horizontal="center" vertical="center"/>
    </xf>
    <xf numFmtId="0" fontId="30" fillId="11" borderId="15" xfId="5" applyFont="1" applyFill="1" applyBorder="1" applyAlignment="1">
      <alignment horizontal="center" vertical="center" wrapText="1"/>
    </xf>
    <xf numFmtId="0" fontId="44" fillId="0" borderId="5" xfId="0" applyFont="1" applyBorder="1" applyAlignment="1" applyProtection="1">
      <alignment vertical="top"/>
      <protection locked="0"/>
    </xf>
    <xf numFmtId="0" fontId="44" fillId="0" borderId="6" xfId="0" applyFont="1" applyBorder="1"/>
    <xf numFmtId="3" fontId="4" fillId="4" borderId="8" xfId="0" applyNumberFormat="1" applyFont="1" applyFill="1" applyBorder="1" applyAlignment="1">
      <alignment vertical="center"/>
    </xf>
    <xf numFmtId="0" fontId="8" fillId="0" borderId="5" xfId="0" applyFont="1" applyBorder="1" applyAlignment="1">
      <alignment horizontal="center" vertical="center" wrapText="1"/>
    </xf>
    <xf numFmtId="0" fontId="44" fillId="0" borderId="1" xfId="0" applyFont="1" applyBorder="1" applyAlignment="1">
      <alignment horizontal="center" vertical="center"/>
    </xf>
    <xf numFmtId="0" fontId="4" fillId="6" borderId="8" xfId="0" applyFont="1" applyFill="1" applyBorder="1" applyAlignment="1">
      <alignment vertical="top" wrapText="1"/>
    </xf>
    <xf numFmtId="0" fontId="44" fillId="0" borderId="0" xfId="0" applyFont="1"/>
    <xf numFmtId="0" fontId="4" fillId="0" borderId="8" xfId="0" applyFont="1" applyBorder="1" applyAlignment="1" applyProtection="1">
      <alignment horizontal="left" vertical="top" wrapText="1"/>
      <protection locked="0"/>
    </xf>
    <xf numFmtId="0" fontId="12" fillId="0" borderId="0" xfId="0" applyFont="1" applyAlignment="1">
      <alignment vertical="top"/>
    </xf>
    <xf numFmtId="0" fontId="23" fillId="6" borderId="12" xfId="0" applyFont="1" applyFill="1" applyBorder="1" applyAlignment="1">
      <alignment vertical="top"/>
    </xf>
    <xf numFmtId="0" fontId="23" fillId="6" borderId="12" xfId="0" applyFont="1" applyFill="1" applyBorder="1" applyAlignment="1">
      <alignment horizontal="center" vertical="top"/>
    </xf>
    <xf numFmtId="0" fontId="4" fillId="0" borderId="11" xfId="0" applyFont="1" applyBorder="1" applyAlignment="1">
      <alignment horizontal="center" vertical="top"/>
    </xf>
    <xf numFmtId="0" fontId="46" fillId="3" borderId="57" xfId="0" applyFont="1" applyFill="1" applyBorder="1" applyAlignment="1" applyProtection="1">
      <alignment vertical="center" wrapText="1"/>
      <protection locked="0"/>
    </xf>
    <xf numFmtId="0" fontId="14" fillId="0" borderId="8" xfId="0" applyFont="1" applyBorder="1" applyAlignment="1">
      <alignment vertical="center"/>
    </xf>
    <xf numFmtId="0" fontId="0" fillId="0" borderId="13" xfId="0" applyBorder="1" applyAlignment="1">
      <alignment vertical="center"/>
    </xf>
    <xf numFmtId="0" fontId="53" fillId="0" borderId="7" xfId="0" applyFont="1" applyBorder="1" applyAlignment="1">
      <alignment horizontal="center" vertical="top" wrapText="1"/>
    </xf>
    <xf numFmtId="0" fontId="44" fillId="0" borderId="6" xfId="0" applyFont="1" applyBorder="1" applyAlignment="1">
      <alignment horizontal="center"/>
    </xf>
    <xf numFmtId="0" fontId="53" fillId="0" borderId="7" xfId="0" applyFont="1" applyBorder="1" applyAlignment="1">
      <alignment horizontal="center" vertical="top"/>
    </xf>
    <xf numFmtId="0" fontId="54" fillId="0" borderId="6" xfId="0" applyFont="1" applyBorder="1" applyAlignment="1">
      <alignment horizontal="center" vertical="center" wrapText="1"/>
    </xf>
    <xf numFmtId="167" fontId="56" fillId="27" borderId="5" xfId="0" applyNumberFormat="1" applyFont="1" applyFill="1" applyBorder="1" applyAlignment="1">
      <alignment horizontal="right" vertical="center"/>
    </xf>
    <xf numFmtId="167" fontId="40" fillId="28" borderId="5" xfId="0" applyNumberFormat="1" applyFont="1" applyFill="1" applyBorder="1" applyAlignment="1">
      <alignment horizontal="right" vertical="center"/>
    </xf>
    <xf numFmtId="167" fontId="40" fillId="29" borderId="5" xfId="0" applyNumberFormat="1" applyFont="1" applyFill="1" applyBorder="1" applyAlignment="1">
      <alignment horizontal="right" vertical="center"/>
    </xf>
    <xf numFmtId="0" fontId="53" fillId="0" borderId="7" xfId="0" applyFont="1" applyBorder="1" applyAlignment="1">
      <alignment horizontal="center" vertical="center"/>
    </xf>
    <xf numFmtId="4" fontId="0" fillId="0" borderId="0" xfId="0" applyNumberFormat="1" applyAlignment="1">
      <alignment vertical="top"/>
    </xf>
    <xf numFmtId="9" fontId="4" fillId="4" borderId="35" xfId="3" applyFont="1" applyFill="1" applyBorder="1" applyAlignment="1">
      <alignment horizontal="center" vertical="center" wrapText="1"/>
    </xf>
    <xf numFmtId="9" fontId="7" fillId="3" borderId="36" xfId="0" applyNumberFormat="1" applyFont="1" applyFill="1" applyBorder="1" applyAlignment="1">
      <alignment horizontal="right" vertical="center"/>
    </xf>
    <xf numFmtId="0" fontId="4" fillId="0" borderId="12" xfId="0" applyFont="1" applyBorder="1" applyAlignment="1" applyProtection="1">
      <alignment horizontal="left" vertical="top" wrapText="1"/>
      <protection locked="0"/>
    </xf>
    <xf numFmtId="0" fontId="53" fillId="0" borderId="15" xfId="0" applyFont="1" applyBorder="1" applyAlignment="1">
      <alignment horizontal="center" vertical="center"/>
    </xf>
    <xf numFmtId="0" fontId="4" fillId="3" borderId="55" xfId="0" applyFont="1" applyFill="1" applyBorder="1" applyAlignment="1" applyProtection="1">
      <alignment vertical="top"/>
      <protection locked="0"/>
    </xf>
    <xf numFmtId="0" fontId="0" fillId="3" borderId="20" xfId="0" applyFill="1" applyBorder="1" applyAlignment="1" applyProtection="1">
      <alignment horizontal="center" vertical="center"/>
      <protection locked="0"/>
    </xf>
    <xf numFmtId="0" fontId="0" fillId="3" borderId="56" xfId="0" applyFill="1" applyBorder="1" applyAlignment="1" applyProtection="1">
      <alignment horizontal="center" vertical="center"/>
      <protection locked="0"/>
    </xf>
    <xf numFmtId="0" fontId="4" fillId="3" borderId="12" xfId="0" applyFont="1" applyFill="1" applyBorder="1" applyAlignment="1" applyProtection="1">
      <alignment horizontal="center" vertical="top" wrapText="1"/>
      <protection locked="0"/>
    </xf>
    <xf numFmtId="0" fontId="0" fillId="3" borderId="51" xfId="0" applyFill="1" applyBorder="1" applyAlignment="1" applyProtection="1">
      <alignment horizontal="center" vertical="center"/>
      <protection locked="0"/>
    </xf>
    <xf numFmtId="3" fontId="4" fillId="4" borderId="13" xfId="0" applyNumberFormat="1" applyFont="1" applyFill="1" applyBorder="1" applyAlignment="1">
      <alignment horizontal="center" vertical="center"/>
    </xf>
    <xf numFmtId="0" fontId="0" fillId="0" borderId="0" xfId="0" applyAlignment="1" applyProtection="1">
      <alignment horizontal="center" vertical="center"/>
      <protection locked="0"/>
    </xf>
    <xf numFmtId="0" fontId="4" fillId="3" borderId="8" xfId="0" applyFont="1" applyFill="1" applyBorder="1" applyAlignment="1" applyProtection="1">
      <alignment horizontal="left" vertical="center" wrapText="1"/>
      <protection locked="0"/>
    </xf>
    <xf numFmtId="9" fontId="0" fillId="0" borderId="0" xfId="0" applyNumberFormat="1" applyAlignment="1">
      <alignment vertical="center"/>
    </xf>
    <xf numFmtId="0" fontId="6" fillId="0" borderId="0" xfId="0" applyFont="1" applyAlignment="1">
      <alignment horizontal="center" vertical="center" wrapText="1"/>
    </xf>
    <xf numFmtId="0" fontId="7" fillId="0" borderId="0" xfId="0" applyFont="1" applyAlignment="1">
      <alignment horizontal="right" vertical="center"/>
    </xf>
    <xf numFmtId="9" fontId="0" fillId="6" borderId="12" xfId="0" applyNumberFormat="1" applyFill="1" applyBorder="1" applyAlignment="1">
      <alignment horizontal="center" vertical="center"/>
    </xf>
    <xf numFmtId="0" fontId="17" fillId="0" borderId="0" xfId="2" applyFill="1" applyAlignment="1" applyProtection="1">
      <alignment vertical="center"/>
    </xf>
    <xf numFmtId="0" fontId="17" fillId="0" borderId="0" xfId="2" applyFill="1" applyBorder="1" applyAlignment="1" applyProtection="1">
      <alignment vertical="center"/>
    </xf>
    <xf numFmtId="0" fontId="44" fillId="0" borderId="0" xfId="0" applyFont="1" applyAlignment="1" applyProtection="1">
      <alignment vertical="center"/>
      <protection locked="0"/>
    </xf>
    <xf numFmtId="9" fontId="4" fillId="4" borderId="14" xfId="0" applyNumberFormat="1" applyFont="1" applyFill="1" applyBorder="1" applyAlignment="1">
      <alignment horizontal="center" vertical="center"/>
    </xf>
    <xf numFmtId="9" fontId="0" fillId="0" borderId="0" xfId="3" applyFont="1" applyAlignment="1" applyProtection="1">
      <alignment vertical="center"/>
    </xf>
    <xf numFmtId="0" fontId="4" fillId="0" borderId="13" xfId="0" applyFont="1" applyBorder="1" applyAlignment="1" applyProtection="1">
      <alignment vertical="center" wrapText="1"/>
      <protection locked="0"/>
    </xf>
    <xf numFmtId="0" fontId="4" fillId="0" borderId="10" xfId="0" applyFont="1" applyBorder="1" applyAlignment="1" applyProtection="1">
      <alignment horizontal="center" vertical="center" wrapText="1"/>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4" fillId="0" borderId="6" xfId="0" applyFont="1" applyBorder="1" applyAlignment="1" applyProtection="1">
      <alignment horizontal="center" vertical="center" wrapText="1"/>
      <protection locked="0"/>
    </xf>
    <xf numFmtId="0" fontId="5" fillId="0" borderId="8" xfId="0" applyFont="1" applyBorder="1" applyAlignment="1" applyProtection="1">
      <alignment vertical="center" wrapText="1"/>
      <protection locked="0"/>
    </xf>
    <xf numFmtId="0" fontId="4" fillId="0" borderId="8" xfId="0" applyFont="1" applyBorder="1" applyAlignment="1" applyProtection="1">
      <alignment vertical="center" wrapText="1"/>
      <protection locked="0"/>
    </xf>
    <xf numFmtId="0" fontId="17" fillId="3" borderId="8" xfId="2" applyFill="1" applyBorder="1" applyAlignment="1" applyProtection="1">
      <alignment horizontal="left" vertical="center" wrapText="1"/>
      <protection locked="0"/>
    </xf>
    <xf numFmtId="0" fontId="7" fillId="0" borderId="0" xfId="0" applyFont="1" applyAlignment="1" applyProtection="1">
      <alignment vertical="center"/>
      <protection locked="0"/>
    </xf>
    <xf numFmtId="0" fontId="4" fillId="5" borderId="8" xfId="0" applyFont="1" applyFill="1" applyBorder="1" applyAlignment="1" applyProtection="1">
      <alignment horizontal="left" vertical="center"/>
      <protection locked="0"/>
    </xf>
    <xf numFmtId="0" fontId="12" fillId="0" borderId="14" xfId="0" applyFont="1" applyBorder="1" applyAlignment="1" applyProtection="1">
      <alignment vertical="center" wrapText="1"/>
      <protection locked="0"/>
    </xf>
    <xf numFmtId="0" fontId="12" fillId="0" borderId="15" xfId="0" applyFont="1" applyBorder="1" applyAlignment="1" applyProtection="1">
      <alignment vertical="center" wrapText="1"/>
      <protection locked="0"/>
    </xf>
    <xf numFmtId="0" fontId="12" fillId="0" borderId="7" xfId="0" applyFont="1" applyBorder="1" applyAlignment="1" applyProtection="1">
      <alignment vertical="center" wrapText="1"/>
      <protection locked="0"/>
    </xf>
    <xf numFmtId="17" fontId="4" fillId="0" borderId="13" xfId="0" applyNumberFormat="1" applyFont="1" applyBorder="1" applyAlignment="1" applyProtection="1">
      <alignment vertical="center" wrapText="1"/>
      <protection locked="0"/>
    </xf>
    <xf numFmtId="0" fontId="6" fillId="0" borderId="8" xfId="0" applyFont="1" applyBorder="1" applyAlignment="1" applyProtection="1">
      <alignment vertical="center" wrapText="1"/>
      <protection locked="0"/>
    </xf>
    <xf numFmtId="0" fontId="3"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3" fillId="0" borderId="1" xfId="0" applyFont="1" applyBorder="1" applyAlignment="1" applyProtection="1">
      <alignment vertical="center" wrapText="1"/>
      <protection locked="0"/>
    </xf>
    <xf numFmtId="0" fontId="3" fillId="0" borderId="0" xfId="0" applyFont="1" applyAlignment="1" applyProtection="1">
      <alignment horizontal="center" vertical="center" wrapText="1"/>
      <protection locked="0"/>
    </xf>
    <xf numFmtId="0" fontId="12" fillId="0" borderId="12" xfId="0" applyFont="1" applyBorder="1" applyAlignment="1" applyProtection="1">
      <alignment vertical="center" wrapText="1"/>
      <protection locked="0"/>
    </xf>
    <xf numFmtId="0" fontId="12" fillId="0" borderId="0" xfId="0" applyFont="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4" fillId="0" borderId="12" xfId="0" applyFont="1" applyBorder="1" applyAlignment="1" applyProtection="1">
      <alignment vertical="center" wrapText="1"/>
      <protection locked="0"/>
    </xf>
    <xf numFmtId="0" fontId="4" fillId="0" borderId="7" xfId="0" applyFont="1" applyBorder="1" applyAlignment="1" applyProtection="1">
      <alignment horizontal="center" vertical="center" wrapText="1"/>
      <protection locked="0"/>
    </xf>
    <xf numFmtId="0" fontId="4" fillId="0" borderId="7"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4" fillId="0" borderId="1"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0" fillId="0" borderId="6" xfId="0" applyBorder="1" applyAlignment="1" applyProtection="1">
      <alignment vertical="center" wrapText="1"/>
      <protection locked="0"/>
    </xf>
    <xf numFmtId="0" fontId="15" fillId="0" borderId="6" xfId="0" applyFont="1" applyBorder="1" applyAlignment="1" applyProtection="1">
      <alignment vertical="center" wrapText="1"/>
      <protection locked="0"/>
    </xf>
    <xf numFmtId="0" fontId="60" fillId="11" borderId="15" xfId="5" applyFont="1" applyFill="1" applyBorder="1" applyAlignment="1">
      <alignment wrapText="1"/>
    </xf>
    <xf numFmtId="0" fontId="27" fillId="0" borderId="0" xfId="0" applyFont="1"/>
    <xf numFmtId="0" fontId="27" fillId="0" borderId="6" xfId="0" applyFont="1" applyBorder="1"/>
    <xf numFmtId="0" fontId="27" fillId="0" borderId="8" xfId="0" applyFont="1" applyBorder="1"/>
    <xf numFmtId="0" fontId="27" fillId="0" borderId="0" xfId="0" applyFont="1" applyProtection="1">
      <protection locked="0"/>
    </xf>
    <xf numFmtId="0" fontId="8" fillId="3" borderId="11"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9" fontId="8" fillId="3" borderId="12" xfId="0" applyNumberFormat="1" applyFont="1" applyFill="1" applyBorder="1" applyAlignment="1" applyProtection="1">
      <alignment vertical="center"/>
      <protection locked="0"/>
    </xf>
    <xf numFmtId="0" fontId="4" fillId="9" borderId="7" xfId="0" applyFont="1" applyFill="1" applyBorder="1" applyAlignment="1">
      <alignment horizontal="center" vertical="center"/>
    </xf>
    <xf numFmtId="0" fontId="7" fillId="0" borderId="0" xfId="0" applyFont="1" applyAlignment="1">
      <alignment wrapText="1"/>
    </xf>
    <xf numFmtId="0" fontId="3" fillId="0" borderId="13" xfId="0" applyFont="1" applyBorder="1" applyAlignment="1">
      <alignment vertical="top"/>
    </xf>
    <xf numFmtId="0" fontId="4" fillId="3" borderId="31" xfId="0" applyFont="1" applyFill="1" applyBorder="1" applyAlignment="1" applyProtection="1">
      <alignment horizontal="center" vertical="center" wrapText="1"/>
      <protection locked="0"/>
    </xf>
    <xf numFmtId="0" fontId="7" fillId="3" borderId="63" xfId="0" applyFont="1" applyFill="1" applyBorder="1" applyAlignment="1" applyProtection="1">
      <alignment horizontal="center" vertical="center"/>
      <protection locked="0"/>
    </xf>
    <xf numFmtId="0" fontId="0" fillId="0" borderId="8" xfId="0" applyBorder="1" applyAlignment="1">
      <alignment vertical="center"/>
    </xf>
    <xf numFmtId="3" fontId="8" fillId="3" borderId="8" xfId="0" applyNumberFormat="1" applyFont="1" applyFill="1" applyBorder="1" applyAlignment="1" applyProtection="1">
      <alignment vertical="top" wrapText="1"/>
      <protection locked="0"/>
    </xf>
    <xf numFmtId="0" fontId="9" fillId="3" borderId="12" xfId="0" applyFont="1" applyFill="1" applyBorder="1" applyAlignment="1">
      <alignment vertical="center" wrapText="1"/>
    </xf>
    <xf numFmtId="0" fontId="49" fillId="21" borderId="50" xfId="0" applyFont="1" applyFill="1" applyBorder="1" applyAlignment="1">
      <alignment vertical="center" wrapText="1"/>
    </xf>
    <xf numFmtId="0" fontId="49" fillId="23" borderId="51" xfId="0" applyFont="1" applyFill="1" applyBorder="1" applyAlignment="1">
      <alignment vertical="center" wrapText="1"/>
    </xf>
    <xf numFmtId="0" fontId="50" fillId="22" borderId="19" xfId="0" applyFont="1" applyFill="1" applyBorder="1" applyAlignment="1">
      <alignment horizontal="center" vertical="center" wrapText="1"/>
    </xf>
    <xf numFmtId="0" fontId="49" fillId="3" borderId="53" xfId="0" applyFont="1" applyFill="1" applyBorder="1" applyAlignment="1" applyProtection="1">
      <alignment horizontal="center" vertical="center" wrapText="1"/>
      <protection locked="0"/>
    </xf>
    <xf numFmtId="9" fontId="4" fillId="4" borderId="8" xfId="3" applyFont="1" applyFill="1" applyBorder="1" applyAlignment="1">
      <alignment horizontal="center" vertical="center"/>
    </xf>
    <xf numFmtId="0" fontId="28" fillId="0" borderId="4" xfId="0" applyFont="1" applyBorder="1" applyAlignment="1">
      <alignment horizontal="center" vertical="center" wrapText="1"/>
    </xf>
    <xf numFmtId="0" fontId="28" fillId="0" borderId="8" xfId="0" applyFont="1" applyBorder="1" applyAlignment="1">
      <alignment horizontal="center" vertical="center" wrapText="1"/>
    </xf>
    <xf numFmtId="10" fontId="4" fillId="3" borderId="32" xfId="0" applyNumberFormat="1" applyFont="1" applyFill="1" applyBorder="1" applyAlignment="1">
      <alignment horizontal="center" vertical="center" wrapText="1"/>
    </xf>
    <xf numFmtId="9" fontId="4" fillId="31" borderId="66" xfId="3" applyFont="1" applyFill="1" applyBorder="1" applyAlignment="1">
      <alignment horizontal="center" vertical="center" wrapText="1"/>
    </xf>
    <xf numFmtId="168" fontId="7" fillId="3" borderId="30" xfId="0" applyNumberFormat="1" applyFont="1" applyFill="1" applyBorder="1" applyAlignment="1" applyProtection="1">
      <alignment horizontal="right" vertical="center"/>
      <protection locked="0"/>
    </xf>
    <xf numFmtId="168" fontId="7" fillId="3" borderId="16" xfId="0" applyNumberFormat="1" applyFont="1" applyFill="1" applyBorder="1" applyAlignment="1" applyProtection="1">
      <alignment horizontal="right" vertical="center"/>
      <protection locked="0"/>
    </xf>
    <xf numFmtId="168" fontId="7" fillId="3" borderId="36" xfId="0" applyNumberFormat="1" applyFont="1" applyFill="1" applyBorder="1" applyAlignment="1" applyProtection="1">
      <alignment horizontal="right" vertical="center"/>
      <protection locked="0"/>
    </xf>
    <xf numFmtId="0" fontId="3" fillId="36" borderId="7" xfId="0" applyFont="1" applyFill="1" applyBorder="1" applyAlignment="1">
      <alignment horizontal="center" vertical="center" wrapText="1"/>
    </xf>
    <xf numFmtId="3" fontId="3" fillId="4" borderId="12" xfId="0" applyNumberFormat="1" applyFont="1" applyFill="1" applyBorder="1" applyAlignment="1">
      <alignment horizontal="center" vertical="top"/>
    </xf>
    <xf numFmtId="0" fontId="3" fillId="3" borderId="7" xfId="0" applyFont="1" applyFill="1" applyBorder="1" applyAlignment="1" applyProtection="1">
      <alignment vertical="top"/>
      <protection locked="0"/>
    </xf>
    <xf numFmtId="3" fontId="3" fillId="4" borderId="13" xfId="0" applyNumberFormat="1" applyFont="1" applyFill="1" applyBorder="1" applyAlignment="1">
      <alignment horizontal="center" vertical="top"/>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59" xfId="0" applyFont="1" applyBorder="1" applyAlignment="1">
      <alignment horizontal="center" vertical="center"/>
    </xf>
    <xf numFmtId="0" fontId="7" fillId="0" borderId="52" xfId="0" applyFont="1" applyBorder="1" applyAlignment="1">
      <alignment horizontal="center" vertical="center"/>
    </xf>
    <xf numFmtId="0" fontId="7" fillId="0" borderId="58" xfId="0" applyFont="1" applyBorder="1" applyAlignment="1" applyProtection="1">
      <alignment horizontal="center" vertical="center"/>
      <protection locked="0"/>
    </xf>
    <xf numFmtId="0" fontId="7" fillId="6" borderId="34" xfId="3" applyNumberFormat="1" applyFont="1" applyFill="1" applyBorder="1" applyAlignment="1" applyProtection="1">
      <alignment horizontal="left" vertical="center" wrapText="1"/>
      <protection hidden="1"/>
    </xf>
    <xf numFmtId="0" fontId="7" fillId="6" borderId="67" xfId="3" applyNumberFormat="1" applyFont="1" applyFill="1" applyBorder="1" applyAlignment="1" applyProtection="1">
      <alignment horizontal="left" vertical="center"/>
      <protection locked="0"/>
    </xf>
    <xf numFmtId="0" fontId="7" fillId="6" borderId="38" xfId="3" applyNumberFormat="1" applyFont="1" applyFill="1" applyBorder="1" applyAlignment="1" applyProtection="1">
      <alignment horizontal="left" vertical="center" wrapText="1"/>
      <protection hidden="1"/>
    </xf>
    <xf numFmtId="0" fontId="7" fillId="6" borderId="36" xfId="3" applyNumberFormat="1" applyFont="1" applyFill="1" applyBorder="1" applyAlignment="1" applyProtection="1">
      <alignment horizontal="left" vertical="center" wrapText="1"/>
      <protection hidden="1"/>
    </xf>
    <xf numFmtId="0" fontId="7" fillId="6" borderId="60" xfId="3" applyNumberFormat="1" applyFont="1" applyFill="1" applyBorder="1" applyAlignment="1" applyProtection="1">
      <alignment horizontal="left" vertical="center" wrapText="1"/>
      <protection hidden="1"/>
    </xf>
    <xf numFmtId="0" fontId="7" fillId="6" borderId="53" xfId="3" applyNumberFormat="1" applyFont="1" applyFill="1" applyBorder="1" applyAlignment="1" applyProtection="1">
      <alignment horizontal="left" vertical="center"/>
    </xf>
    <xf numFmtId="0" fontId="7" fillId="6" borderId="61" xfId="3" applyNumberFormat="1" applyFont="1" applyFill="1" applyBorder="1" applyAlignment="1" applyProtection="1">
      <alignment horizontal="left" vertical="center"/>
      <protection locked="0"/>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0" borderId="33" xfId="0" applyFont="1" applyBorder="1" applyAlignment="1">
      <alignment horizontal="center" vertical="center"/>
    </xf>
    <xf numFmtId="0" fontId="0" fillId="6" borderId="34" xfId="3" applyNumberFormat="1" applyFont="1" applyFill="1" applyBorder="1" applyAlignment="1" applyProtection="1">
      <alignment horizontal="left" vertical="center"/>
    </xf>
    <xf numFmtId="0" fontId="0" fillId="6" borderId="35" xfId="3" applyNumberFormat="1" applyFont="1" applyFill="1" applyBorder="1" applyAlignment="1" applyProtection="1">
      <alignment horizontal="left" vertical="center"/>
    </xf>
    <xf numFmtId="0" fontId="0" fillId="6" borderId="38" xfId="3" applyNumberFormat="1" applyFont="1" applyFill="1" applyBorder="1" applyAlignment="1" applyProtection="1">
      <alignment horizontal="left" vertical="center"/>
    </xf>
    <xf numFmtId="0" fontId="0" fillId="6" borderId="36" xfId="3" applyNumberFormat="1" applyFont="1" applyFill="1" applyBorder="1" applyAlignment="1" applyProtection="1">
      <alignment horizontal="left" vertical="center"/>
    </xf>
    <xf numFmtId="0" fontId="0" fillId="6" borderId="39" xfId="3" applyNumberFormat="1" applyFont="1" applyFill="1" applyBorder="1" applyAlignment="1" applyProtection="1">
      <alignment horizontal="left" vertical="center"/>
    </xf>
    <xf numFmtId="9" fontId="0" fillId="26" borderId="16" xfId="3" applyFont="1" applyFill="1" applyBorder="1" applyAlignment="1" applyProtection="1">
      <alignment horizontal="center" vertical="center"/>
      <protection hidden="1"/>
    </xf>
    <xf numFmtId="0" fontId="4" fillId="26" borderId="8" xfId="0" applyFont="1" applyFill="1" applyBorder="1" applyAlignment="1">
      <alignment vertical="top" wrapText="1"/>
    </xf>
    <xf numFmtId="0" fontId="4" fillId="0" borderId="8" xfId="0" applyFont="1" applyBorder="1" applyAlignment="1" applyProtection="1">
      <alignment vertical="top" wrapText="1"/>
      <protection locked="0"/>
    </xf>
    <xf numFmtId="9" fontId="8" fillId="3" borderId="7" xfId="0" applyNumberFormat="1" applyFont="1" applyFill="1" applyBorder="1" applyAlignment="1" applyProtection="1">
      <alignment horizontal="center" vertical="center"/>
      <protection locked="0"/>
    </xf>
    <xf numFmtId="0" fontId="64" fillId="0" borderId="0" xfId="0" applyFont="1" applyAlignment="1">
      <alignment vertical="center"/>
    </xf>
    <xf numFmtId="0" fontId="4" fillId="3" borderId="51" xfId="0" applyFont="1" applyFill="1" applyBorder="1" applyAlignment="1" applyProtection="1">
      <alignment horizontal="left" vertical="center" wrapText="1"/>
      <protection locked="0"/>
    </xf>
    <xf numFmtId="0" fontId="55" fillId="0" borderId="8" xfId="0" applyFont="1" applyBorder="1" applyAlignment="1">
      <alignment vertical="center"/>
    </xf>
    <xf numFmtId="9" fontId="4" fillId="4" borderId="12" xfId="3" applyFont="1" applyFill="1" applyBorder="1" applyAlignment="1">
      <alignment horizontal="center" vertical="center" wrapText="1"/>
    </xf>
    <xf numFmtId="0" fontId="4" fillId="3" borderId="50" xfId="0" applyFont="1" applyFill="1" applyBorder="1" applyAlignment="1" applyProtection="1">
      <alignment vertical="center" wrapText="1"/>
      <protection locked="0"/>
    </xf>
    <xf numFmtId="0" fontId="4" fillId="3" borderId="65" xfId="0" applyFont="1" applyFill="1" applyBorder="1" applyAlignment="1">
      <alignment vertical="center" wrapText="1"/>
    </xf>
    <xf numFmtId="9" fontId="4" fillId="3" borderId="16" xfId="0" applyNumberFormat="1" applyFont="1" applyFill="1" applyBorder="1" applyAlignment="1">
      <alignment horizontal="right" vertical="center" wrapText="1"/>
    </xf>
    <xf numFmtId="10" fontId="4" fillId="3" borderId="30" xfId="0" applyNumberFormat="1" applyFont="1" applyFill="1" applyBorder="1" applyAlignment="1">
      <alignment horizontal="center" vertical="center" wrapText="1"/>
    </xf>
    <xf numFmtId="0" fontId="4" fillId="6" borderId="11" xfId="0" applyFont="1" applyFill="1" applyBorder="1" applyAlignment="1">
      <alignment horizontal="center" vertical="center"/>
    </xf>
    <xf numFmtId="0" fontId="4" fillId="6" borderId="13" xfId="0" applyFont="1" applyFill="1" applyBorder="1" applyAlignment="1">
      <alignment horizontal="center" vertical="center"/>
    </xf>
    <xf numFmtId="168" fontId="4" fillId="34" borderId="16" xfId="0" applyNumberFormat="1" applyFont="1" applyFill="1" applyBorder="1" applyAlignment="1">
      <alignment horizontal="right" vertical="center"/>
    </xf>
    <xf numFmtId="167" fontId="4" fillId="24" borderId="32" xfId="0" applyNumberFormat="1" applyFont="1" applyFill="1" applyBorder="1" applyAlignment="1">
      <alignment horizontal="right" vertical="center"/>
    </xf>
    <xf numFmtId="167" fontId="27" fillId="19" borderId="48" xfId="0" applyNumberFormat="1" applyFont="1" applyFill="1" applyBorder="1" applyAlignment="1">
      <alignment horizontal="right" vertical="center"/>
    </xf>
    <xf numFmtId="168" fontId="4" fillId="3" borderId="8" xfId="0" applyNumberFormat="1" applyFont="1" applyFill="1" applyBorder="1" applyAlignment="1" applyProtection="1">
      <alignment vertical="center"/>
      <protection locked="0"/>
    </xf>
    <xf numFmtId="168" fontId="7" fillId="3" borderId="8" xfId="0" applyNumberFormat="1" applyFont="1" applyFill="1" applyBorder="1" applyAlignment="1" applyProtection="1">
      <alignment vertical="center"/>
      <protection locked="0"/>
    </xf>
    <xf numFmtId="169" fontId="47" fillId="3" borderId="37" xfId="11" applyNumberFormat="1" applyFont="1" applyFill="1" applyBorder="1" applyAlignment="1" applyProtection="1">
      <alignment vertical="center"/>
      <protection locked="0"/>
    </xf>
    <xf numFmtId="167" fontId="47" fillId="19" borderId="16" xfId="0" applyNumberFormat="1" applyFont="1" applyFill="1" applyBorder="1" applyAlignment="1">
      <alignment horizontal="right" vertical="center"/>
    </xf>
    <xf numFmtId="44" fontId="7" fillId="3" borderId="36" xfId="11" applyFont="1" applyFill="1" applyBorder="1" applyAlignment="1" applyProtection="1">
      <alignment vertical="center"/>
      <protection locked="0"/>
    </xf>
    <xf numFmtId="169" fontId="4" fillId="4" borderId="13" xfId="11" applyNumberFormat="1" applyFont="1" applyFill="1" applyBorder="1" applyAlignment="1">
      <alignment vertical="center"/>
    </xf>
    <xf numFmtId="169" fontId="4" fillId="4" borderId="13" xfId="11" applyNumberFormat="1" applyFont="1" applyFill="1" applyBorder="1" applyAlignment="1">
      <alignment horizontal="center" vertical="center"/>
    </xf>
    <xf numFmtId="169" fontId="4" fillId="4" borderId="13" xfId="11" applyNumberFormat="1" applyFont="1" applyFill="1" applyBorder="1" applyAlignment="1" applyProtection="1">
      <alignment vertical="center"/>
      <protection locked="0"/>
    </xf>
    <xf numFmtId="169" fontId="7" fillId="3" borderId="8" xfId="11" applyNumberFormat="1" applyFont="1" applyFill="1" applyBorder="1" applyAlignment="1" applyProtection="1">
      <alignment vertical="center"/>
      <protection locked="0"/>
    </xf>
    <xf numFmtId="169" fontId="4" fillId="4" borderId="13" xfId="11" applyNumberFormat="1" applyFont="1" applyFill="1" applyBorder="1" applyAlignment="1">
      <alignment vertical="top"/>
    </xf>
    <xf numFmtId="0" fontId="8" fillId="0" borderId="7" xfId="0" applyFont="1" applyBorder="1" applyAlignment="1">
      <alignment vertical="center" wrapText="1"/>
    </xf>
    <xf numFmtId="0" fontId="52" fillId="0" borderId="8" xfId="0" applyFont="1" applyBorder="1" applyAlignment="1">
      <alignment vertical="center" wrapText="1"/>
    </xf>
    <xf numFmtId="169" fontId="49" fillId="4" borderId="13" xfId="11" applyNumberFormat="1" applyFont="1" applyFill="1" applyBorder="1" applyAlignment="1">
      <alignment vertical="top"/>
    </xf>
    <xf numFmtId="169" fontId="49" fillId="4" borderId="10" xfId="11" applyNumberFormat="1" applyFont="1" applyFill="1" applyBorder="1" applyAlignment="1">
      <alignment vertical="top"/>
    </xf>
    <xf numFmtId="169" fontId="4" fillId="0" borderId="12" xfId="11" applyNumberFormat="1" applyFont="1" applyBorder="1" applyAlignment="1">
      <alignment vertical="top"/>
    </xf>
    <xf numFmtId="168" fontId="7" fillId="3" borderId="30" xfId="4" applyNumberFormat="1" applyFont="1" applyFill="1" applyBorder="1" applyAlignment="1" applyProtection="1">
      <alignment horizontal="right" vertical="center"/>
      <protection locked="0"/>
    </xf>
    <xf numFmtId="0" fontId="66" fillId="0" borderId="1" xfId="0" applyFont="1" applyBorder="1" applyAlignment="1">
      <alignment horizontal="center" vertical="center" wrapText="1"/>
    </xf>
    <xf numFmtId="0" fontId="67" fillId="0" borderId="1" xfId="0" applyFont="1" applyBorder="1"/>
    <xf numFmtId="0" fontId="66" fillId="0" borderId="4" xfId="0" applyFont="1" applyBorder="1" applyAlignment="1">
      <alignment horizontal="center" vertical="center" wrapText="1"/>
    </xf>
    <xf numFmtId="0" fontId="66" fillId="0" borderId="7" xfId="0" applyFont="1" applyBorder="1" applyAlignment="1">
      <alignment horizontal="center" vertical="center"/>
    </xf>
    <xf numFmtId="0" fontId="17" fillId="0" borderId="8" xfId="2" applyFill="1" applyBorder="1" applyAlignment="1">
      <alignment horizontal="left" vertical="top" wrapText="1"/>
    </xf>
    <xf numFmtId="0" fontId="17" fillId="0" borderId="8" xfId="2" applyFill="1" applyBorder="1" applyAlignment="1" applyProtection="1">
      <alignment horizontal="left" vertical="top" wrapText="1"/>
      <protection locked="0"/>
    </xf>
    <xf numFmtId="0" fontId="4" fillId="0" borderId="2" xfId="0" applyFont="1" applyBorder="1" applyAlignment="1">
      <alignment vertical="center" wrapText="1"/>
    </xf>
    <xf numFmtId="0" fontId="31" fillId="0" borderId="0" xfId="5" applyAlignment="1">
      <alignment vertical="center"/>
    </xf>
    <xf numFmtId="0" fontId="70" fillId="12" borderId="1" xfId="5" applyFont="1" applyFill="1" applyBorder="1" applyAlignment="1">
      <alignment horizontal="center" vertical="center" wrapText="1"/>
    </xf>
    <xf numFmtId="0" fontId="70" fillId="0" borderId="50" xfId="5" applyFont="1" applyBorder="1" applyAlignment="1">
      <alignment vertical="center" wrapText="1"/>
    </xf>
    <xf numFmtId="0" fontId="71" fillId="0" borderId="50" xfId="5" applyFont="1" applyBorder="1" applyAlignment="1">
      <alignment horizontal="justify" vertical="center" wrapText="1"/>
    </xf>
    <xf numFmtId="0" fontId="71" fillId="0" borderId="57" xfId="5" applyFont="1" applyBorder="1" applyAlignment="1">
      <alignment horizontal="justify" vertical="center" wrapText="1"/>
    </xf>
    <xf numFmtId="0" fontId="71" fillId="0" borderId="65" xfId="5" applyFont="1" applyBorder="1" applyAlignment="1">
      <alignment horizontal="justify" vertical="center" wrapText="1"/>
    </xf>
    <xf numFmtId="0" fontId="70" fillId="0" borderId="51" xfId="5" applyFont="1" applyBorder="1" applyAlignment="1">
      <alignment vertical="center" wrapText="1"/>
    </xf>
    <xf numFmtId="0" fontId="71" fillId="0" borderId="51" xfId="5" applyFont="1" applyBorder="1" applyAlignment="1">
      <alignment horizontal="justify" vertical="center" wrapText="1"/>
    </xf>
    <xf numFmtId="0" fontId="73" fillId="0" borderId="12" xfId="0" applyFont="1" applyBorder="1" applyAlignment="1">
      <alignment wrapText="1"/>
    </xf>
    <xf numFmtId="9" fontId="4" fillId="4" borderId="8" xfId="3" applyFont="1" applyFill="1" applyBorder="1" applyAlignment="1">
      <alignment horizontal="center" vertical="top"/>
    </xf>
    <xf numFmtId="0" fontId="26" fillId="0" borderId="0" xfId="0" applyFont="1" applyAlignment="1">
      <alignment vertical="center" wrapText="1"/>
    </xf>
    <xf numFmtId="0" fontId="4" fillId="6" borderId="8" xfId="0" applyFont="1" applyFill="1" applyBorder="1" applyAlignment="1">
      <alignment horizontal="center" vertical="center"/>
    </xf>
    <xf numFmtId="0" fontId="4" fillId="4" borderId="12" xfId="4" applyNumberFormat="1" applyFont="1" applyFill="1" applyBorder="1" applyAlignment="1">
      <alignment horizontal="center" vertical="top" wrapText="1"/>
    </xf>
    <xf numFmtId="0" fontId="4" fillId="8" borderId="15" xfId="0" applyFont="1" applyFill="1" applyBorder="1" applyAlignment="1" applyProtection="1">
      <alignment horizontal="center" wrapText="1"/>
      <protection locked="0"/>
    </xf>
    <xf numFmtId="0" fontId="46" fillId="3" borderId="37" xfId="0" applyFont="1" applyFill="1" applyBorder="1" applyAlignment="1" applyProtection="1">
      <alignment horizontal="center" vertical="center"/>
      <protection locked="0"/>
    </xf>
    <xf numFmtId="0" fontId="4" fillId="3" borderId="36" xfId="0" applyFont="1" applyFill="1" applyBorder="1" applyAlignment="1" applyProtection="1">
      <alignment horizontal="center" vertical="center"/>
      <protection locked="0"/>
    </xf>
    <xf numFmtId="0" fontId="4" fillId="3" borderId="14" xfId="0" applyFont="1" applyFill="1" applyBorder="1" applyAlignment="1" applyProtection="1">
      <alignment horizontal="left" vertical="top" wrapText="1"/>
      <protection locked="0"/>
    </xf>
    <xf numFmtId="0" fontId="4" fillId="3" borderId="7" xfId="0" applyFont="1" applyFill="1" applyBorder="1" applyAlignment="1" applyProtection="1">
      <alignment horizontal="left" vertical="top" wrapText="1"/>
      <protection locked="0"/>
    </xf>
    <xf numFmtId="0" fontId="8" fillId="0" borderId="8" xfId="0" applyFont="1" applyBorder="1" applyAlignment="1">
      <alignment horizontal="center" vertical="top" wrapText="1"/>
    </xf>
    <xf numFmtId="0" fontId="28" fillId="0" borderId="7" xfId="0" applyFont="1" applyBorder="1" applyAlignment="1">
      <alignment horizontal="center" vertical="center" wrapText="1"/>
    </xf>
    <xf numFmtId="0" fontId="3" fillId="0" borderId="7" xfId="0" applyFont="1" applyBorder="1" applyAlignment="1">
      <alignment horizontal="center" vertical="center"/>
    </xf>
    <xf numFmtId="3" fontId="8" fillId="3" borderId="8" xfId="0" applyNumberFormat="1" applyFont="1" applyFill="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3" borderId="12" xfId="0" applyFont="1" applyFill="1" applyBorder="1" applyAlignment="1" applyProtection="1">
      <alignment vertical="center" wrapText="1"/>
      <protection locked="0"/>
    </xf>
    <xf numFmtId="0" fontId="4" fillId="3" borderId="12" xfId="0" applyFont="1" applyFill="1" applyBorder="1" applyAlignment="1" applyProtection="1">
      <alignment horizontal="center" vertical="center" wrapText="1"/>
      <protection locked="0"/>
    </xf>
    <xf numFmtId="0" fontId="4" fillId="3" borderId="69" xfId="0" applyFont="1" applyFill="1" applyBorder="1" applyAlignment="1" applyProtection="1">
      <alignment horizontal="center" vertical="top" wrapText="1"/>
      <protection locked="0"/>
    </xf>
    <xf numFmtId="3" fontId="4" fillId="4" borderId="8" xfId="0" applyNumberFormat="1" applyFont="1" applyFill="1" applyBorder="1" applyAlignment="1">
      <alignment horizontal="center" vertical="top"/>
    </xf>
    <xf numFmtId="3" fontId="4" fillId="4" borderId="12" xfId="0" applyNumberFormat="1" applyFont="1" applyFill="1" applyBorder="1" applyAlignment="1">
      <alignment horizontal="center" vertical="center"/>
    </xf>
    <xf numFmtId="0" fontId="46" fillId="3" borderId="23" xfId="0" applyFont="1" applyFill="1" applyBorder="1" applyAlignment="1" applyProtection="1">
      <alignment horizontal="center" vertical="center"/>
      <protection locked="0"/>
    </xf>
    <xf numFmtId="0" fontId="4" fillId="3" borderId="56" xfId="0" applyFont="1" applyFill="1" applyBorder="1" applyAlignment="1" applyProtection="1">
      <alignment horizontal="center" vertical="center"/>
      <protection locked="0"/>
    </xf>
    <xf numFmtId="167" fontId="47" fillId="19" borderId="18" xfId="0" applyNumberFormat="1" applyFont="1" applyFill="1" applyBorder="1" applyAlignment="1">
      <alignment horizontal="right" vertical="center"/>
    </xf>
    <xf numFmtId="168" fontId="7" fillId="3" borderId="60" xfId="0" applyNumberFormat="1" applyFont="1" applyFill="1" applyBorder="1" applyAlignment="1" applyProtection="1">
      <alignment horizontal="center" vertical="center"/>
      <protection locked="0"/>
    </xf>
    <xf numFmtId="3" fontId="62" fillId="3" borderId="1" xfId="0" applyNumberFormat="1" applyFont="1" applyFill="1" applyBorder="1" applyAlignment="1" applyProtection="1">
      <alignment vertical="center" wrapText="1"/>
      <protection locked="0"/>
    </xf>
    <xf numFmtId="0" fontId="8" fillId="0" borderId="7" xfId="0" applyFont="1" applyBorder="1" applyAlignment="1">
      <alignment horizontal="center" vertical="top" wrapText="1"/>
    </xf>
    <xf numFmtId="0" fontId="8" fillId="0" borderId="12" xfId="0" applyFont="1" applyBorder="1" applyAlignment="1">
      <alignment horizontal="center" vertical="center" wrapText="1"/>
    </xf>
    <xf numFmtId="0" fontId="4" fillId="3" borderId="11" xfId="0" applyFont="1" applyFill="1" applyBorder="1" applyAlignment="1" applyProtection="1">
      <alignment horizontal="center" vertical="center"/>
      <protection locked="0"/>
    </xf>
    <xf numFmtId="168" fontId="7" fillId="3" borderId="37" xfId="0" applyNumberFormat="1" applyFont="1" applyFill="1" applyBorder="1" applyAlignment="1" applyProtection="1">
      <alignment horizontal="right" vertical="center"/>
      <protection locked="0"/>
    </xf>
    <xf numFmtId="9" fontId="4" fillId="4" borderId="54" xfId="3" applyFont="1" applyFill="1" applyBorder="1" applyAlignment="1">
      <alignment horizontal="center" vertical="center" wrapText="1"/>
    </xf>
    <xf numFmtId="0" fontId="4" fillId="18" borderId="20" xfId="0" applyFont="1" applyFill="1" applyBorder="1" applyAlignment="1">
      <alignment vertical="center" wrapText="1"/>
    </xf>
    <xf numFmtId="0" fontId="4" fillId="21" borderId="56" xfId="0" applyFont="1" applyFill="1" applyBorder="1" applyAlignment="1">
      <alignment vertical="center" wrapText="1"/>
    </xf>
    <xf numFmtId="0" fontId="14" fillId="3" borderId="69" xfId="0" applyFont="1" applyFill="1" applyBorder="1" applyAlignment="1" applyProtection="1">
      <alignment horizontal="center" vertical="center"/>
      <protection locked="0"/>
    </xf>
    <xf numFmtId="0" fontId="14" fillId="3" borderId="50" xfId="0" applyFont="1" applyFill="1" applyBorder="1" applyAlignment="1" applyProtection="1">
      <alignment horizontal="center" vertical="center"/>
      <protection locked="0"/>
    </xf>
    <xf numFmtId="0" fontId="4" fillId="3" borderId="50" xfId="0" applyFont="1" applyFill="1" applyBorder="1" applyAlignment="1" applyProtection="1">
      <alignment horizontal="center" vertical="center"/>
      <protection locked="0"/>
    </xf>
    <xf numFmtId="0" fontId="4" fillId="3" borderId="57" xfId="0" applyFont="1" applyFill="1" applyBorder="1" applyAlignment="1" applyProtection="1">
      <alignment horizontal="center" vertical="center"/>
      <protection locked="0"/>
    </xf>
    <xf numFmtId="0" fontId="4" fillId="3" borderId="51" xfId="0" applyFont="1" applyFill="1" applyBorder="1" applyAlignment="1" applyProtection="1">
      <alignment horizontal="center" vertical="center"/>
      <protection locked="0"/>
    </xf>
    <xf numFmtId="9" fontId="7" fillId="3" borderId="37" xfId="0" applyNumberFormat="1" applyFont="1" applyFill="1" applyBorder="1" applyAlignment="1">
      <alignment horizontal="right" vertical="center"/>
    </xf>
    <xf numFmtId="0" fontId="4" fillId="3" borderId="20" xfId="0" applyFont="1" applyFill="1" applyBorder="1" applyAlignment="1">
      <alignment vertical="top" wrapText="1"/>
    </xf>
    <xf numFmtId="0" fontId="4" fillId="20" borderId="20" xfId="0" applyFont="1" applyFill="1" applyBorder="1" applyAlignment="1">
      <alignment vertical="center" wrapText="1"/>
    </xf>
    <xf numFmtId="0" fontId="4" fillId="25" borderId="20" xfId="0" applyFont="1" applyFill="1" applyBorder="1" applyAlignment="1">
      <alignment vertical="center" wrapText="1"/>
    </xf>
    <xf numFmtId="0" fontId="4" fillId="25" borderId="23" xfId="0" applyFont="1" applyFill="1" applyBorder="1" applyAlignment="1">
      <alignment vertical="center" wrapText="1"/>
    </xf>
    <xf numFmtId="0" fontId="4" fillId="3" borderId="69"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28" fillId="9" borderId="8" xfId="0" applyFont="1" applyFill="1" applyBorder="1" applyAlignment="1">
      <alignment horizontal="center" vertical="center" wrapText="1"/>
    </xf>
    <xf numFmtId="0" fontId="23" fillId="6" borderId="12" xfId="0" applyFont="1" applyFill="1" applyBorder="1" applyAlignment="1">
      <alignment horizontal="center" vertical="center"/>
    </xf>
    <xf numFmtId="0" fontId="63" fillId="6" borderId="12" xfId="1" applyFont="1" applyFill="1" applyBorder="1" applyAlignment="1" applyProtection="1">
      <alignment horizontal="center" vertical="top"/>
    </xf>
    <xf numFmtId="0" fontId="14" fillId="36" borderId="12" xfId="0" applyFont="1" applyFill="1" applyBorder="1" applyAlignment="1">
      <alignment vertical="top" wrapText="1"/>
    </xf>
    <xf numFmtId="0" fontId="14" fillId="36" borderId="12" xfId="0" applyFont="1" applyFill="1" applyBorder="1" applyAlignment="1">
      <alignment horizontal="left" vertical="center" wrapText="1"/>
    </xf>
    <xf numFmtId="0" fontId="3" fillId="0" borderId="7" xfId="0" applyFont="1" applyBorder="1" applyAlignment="1">
      <alignment horizontal="center" vertical="top"/>
    </xf>
    <xf numFmtId="3" fontId="4" fillId="3" borderId="8" xfId="0" applyNumberFormat="1" applyFont="1" applyFill="1" applyBorder="1" applyAlignment="1" applyProtection="1">
      <alignment horizontal="center" vertical="top"/>
      <protection locked="0"/>
    </xf>
    <xf numFmtId="3" fontId="4" fillId="3" borderId="8" xfId="0" applyNumberFormat="1" applyFont="1" applyFill="1" applyBorder="1" applyAlignment="1" applyProtection="1">
      <alignment horizontal="center" vertical="top" wrapText="1"/>
      <protection locked="0"/>
    </xf>
    <xf numFmtId="0" fontId="63" fillId="6" borderId="12" xfId="0" applyFont="1" applyFill="1" applyBorder="1" applyAlignment="1">
      <alignment horizontal="center" vertical="center"/>
    </xf>
    <xf numFmtId="0" fontId="4" fillId="3" borderId="32"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3" fillId="0" borderId="8" xfId="0" applyFont="1" applyBorder="1" applyAlignment="1">
      <alignment horizontal="right" vertical="top"/>
    </xf>
    <xf numFmtId="0" fontId="53" fillId="0" borderId="12" xfId="0" applyFont="1" applyBorder="1" applyAlignment="1">
      <alignment horizontal="center" vertical="top" wrapText="1"/>
    </xf>
    <xf numFmtId="3" fontId="4" fillId="36" borderId="7" xfId="0" applyNumberFormat="1" applyFont="1" applyFill="1" applyBorder="1" applyAlignment="1" applyProtection="1">
      <alignment horizontal="center" vertical="center" wrapText="1"/>
      <protection locked="0"/>
    </xf>
    <xf numFmtId="3" fontId="4" fillId="37" borderId="8" xfId="0" applyNumberFormat="1" applyFont="1" applyFill="1" applyBorder="1" applyAlignment="1">
      <alignment horizontal="center" vertical="center"/>
    </xf>
    <xf numFmtId="9" fontId="4" fillId="37" borderId="8" xfId="3" applyFont="1" applyFill="1" applyBorder="1" applyAlignment="1" applyProtection="1">
      <alignment horizontal="center" vertical="center"/>
    </xf>
    <xf numFmtId="3" fontId="4" fillId="0" borderId="7" xfId="0" applyNumberFormat="1" applyFont="1" applyBorder="1" applyAlignment="1" applyProtection="1">
      <alignment horizontal="center" wrapText="1"/>
      <protection locked="0"/>
    </xf>
    <xf numFmtId="0" fontId="63" fillId="6" borderId="12" xfId="0" applyFont="1" applyFill="1" applyBorder="1" applyAlignment="1">
      <alignment horizontal="center" vertical="top"/>
    </xf>
    <xf numFmtId="0" fontId="4" fillId="6" borderId="10" xfId="0" applyFont="1" applyFill="1" applyBorder="1" applyAlignment="1">
      <alignment horizontal="center" vertical="center"/>
    </xf>
    <xf numFmtId="9" fontId="58" fillId="3" borderId="55" xfId="3" applyFont="1" applyFill="1" applyBorder="1" applyAlignment="1">
      <alignment horizontal="center" vertical="center" wrapText="1"/>
    </xf>
    <xf numFmtId="9" fontId="58" fillId="3" borderId="20" xfId="3" applyFont="1" applyFill="1" applyBorder="1" applyAlignment="1">
      <alignment horizontal="center" vertical="center" wrapText="1"/>
    </xf>
    <xf numFmtId="9" fontId="7" fillId="35" borderId="20" xfId="3" applyFont="1" applyFill="1" applyBorder="1" applyAlignment="1">
      <alignment horizontal="center" vertical="center"/>
    </xf>
    <xf numFmtId="9" fontId="7" fillId="3" borderId="20" xfId="3" applyFont="1" applyFill="1" applyBorder="1" applyAlignment="1">
      <alignment horizontal="center" vertical="center" wrapText="1"/>
    </xf>
    <xf numFmtId="0" fontId="4" fillId="3" borderId="70" xfId="0" applyFont="1" applyFill="1" applyBorder="1" applyAlignment="1">
      <alignment horizontal="center" vertical="center"/>
    </xf>
    <xf numFmtId="0" fontId="4" fillId="3" borderId="49" xfId="0" applyFont="1" applyFill="1" applyBorder="1" applyAlignment="1">
      <alignment horizontal="center" vertical="center"/>
    </xf>
    <xf numFmtId="0" fontId="14" fillId="36" borderId="12" xfId="0" applyFont="1" applyFill="1" applyBorder="1" applyAlignment="1">
      <alignment vertical="center"/>
    </xf>
    <xf numFmtId="0" fontId="8" fillId="18" borderId="13" xfId="0" applyFont="1" applyFill="1" applyBorder="1" applyAlignment="1">
      <alignment vertical="center" wrapText="1"/>
    </xf>
    <xf numFmtId="0" fontId="4" fillId="3" borderId="58" xfId="0" applyFont="1" applyFill="1" applyBorder="1" applyAlignment="1">
      <alignment horizontal="center" vertical="center" wrapText="1"/>
    </xf>
    <xf numFmtId="0" fontId="8" fillId="3" borderId="6" xfId="0" applyFont="1" applyFill="1" applyBorder="1" applyAlignment="1" applyProtection="1">
      <alignment horizontal="center" vertical="center" wrapText="1"/>
      <protection locked="0"/>
    </xf>
    <xf numFmtId="0" fontId="8" fillId="3" borderId="51" xfId="0" applyFont="1" applyFill="1" applyBorder="1" applyAlignment="1" applyProtection="1">
      <alignment horizontal="center" vertical="center" wrapText="1"/>
      <protection locked="0"/>
    </xf>
    <xf numFmtId="0" fontId="7" fillId="3" borderId="0" xfId="0" applyFont="1" applyFill="1" applyAlignment="1">
      <alignment horizontal="justify" vertical="center"/>
    </xf>
    <xf numFmtId="168" fontId="7" fillId="3" borderId="11" xfId="0" applyNumberFormat="1" applyFont="1" applyFill="1" applyBorder="1" applyAlignment="1" applyProtection="1">
      <alignment vertical="center"/>
      <protection locked="0"/>
    </xf>
    <xf numFmtId="0" fontId="75" fillId="3" borderId="69" xfId="12" applyFont="1" applyFill="1" applyBorder="1" applyAlignment="1">
      <alignment horizontal="justify" vertical="center" wrapText="1"/>
    </xf>
    <xf numFmtId="0" fontId="75" fillId="3" borderId="50" xfId="12" applyFont="1" applyFill="1" applyBorder="1" applyAlignment="1">
      <alignment horizontal="justify" vertical="center" wrapText="1"/>
    </xf>
    <xf numFmtId="0" fontId="75" fillId="38" borderId="50" xfId="12" applyFont="1" applyFill="1" applyBorder="1" applyAlignment="1">
      <alignment horizontal="justify" vertical="center" wrapText="1"/>
    </xf>
    <xf numFmtId="0" fontId="75" fillId="3" borderId="51" xfId="12" applyFont="1" applyFill="1" applyBorder="1" applyAlignment="1">
      <alignment horizontal="justify" vertical="center" wrapText="1"/>
    </xf>
    <xf numFmtId="9" fontId="4" fillId="24" borderId="59" xfId="3" applyFont="1" applyFill="1" applyBorder="1" applyAlignment="1">
      <alignment horizontal="center" vertical="center"/>
    </xf>
    <xf numFmtId="9" fontId="4" fillId="24" borderId="18" xfId="3" applyFont="1" applyFill="1" applyBorder="1" applyAlignment="1">
      <alignment horizontal="center" vertical="center"/>
    </xf>
    <xf numFmtId="9" fontId="7" fillId="33" borderId="18" xfId="3" applyFont="1" applyFill="1" applyBorder="1" applyAlignment="1">
      <alignment horizontal="center" vertical="center"/>
    </xf>
    <xf numFmtId="9" fontId="4" fillId="24" borderId="69" xfId="3" applyFont="1" applyFill="1" applyBorder="1" applyAlignment="1">
      <alignment horizontal="center" vertical="center"/>
    </xf>
    <xf numFmtId="9" fontId="4" fillId="24" borderId="50" xfId="3" applyFont="1" applyFill="1" applyBorder="1" applyAlignment="1">
      <alignment horizontal="center" vertical="center"/>
    </xf>
    <xf numFmtId="9" fontId="7" fillId="33" borderId="50" xfId="3" applyFont="1" applyFill="1" applyBorder="1" applyAlignment="1">
      <alignment horizontal="center" vertical="center"/>
    </xf>
    <xf numFmtId="9" fontId="7" fillId="3" borderId="50" xfId="3" applyFont="1" applyFill="1" applyBorder="1" applyAlignment="1">
      <alignment horizontal="center" vertical="center" wrapText="1"/>
    </xf>
    <xf numFmtId="9" fontId="7" fillId="3" borderId="50" xfId="0" applyNumberFormat="1" applyFont="1" applyFill="1" applyBorder="1" applyAlignment="1">
      <alignment horizontal="center" vertical="center" wrapText="1"/>
    </xf>
    <xf numFmtId="9" fontId="4" fillId="34" borderId="50" xfId="3" applyFont="1" applyFill="1" applyBorder="1" applyAlignment="1">
      <alignment horizontal="center" vertical="center"/>
    </xf>
    <xf numFmtId="9" fontId="7" fillId="3" borderId="51" xfId="3" applyFont="1" applyFill="1" applyBorder="1" applyAlignment="1">
      <alignment horizontal="center" vertical="center" wrapText="1"/>
    </xf>
    <xf numFmtId="3" fontId="8" fillId="3" borderId="8" xfId="0" applyNumberFormat="1" applyFont="1" applyFill="1" applyBorder="1" applyAlignment="1" applyProtection="1">
      <alignment vertical="center" wrapText="1"/>
      <protection locked="0"/>
    </xf>
    <xf numFmtId="0" fontId="8" fillId="3" borderId="12" xfId="0" applyFont="1" applyFill="1" applyBorder="1" applyAlignment="1" applyProtection="1">
      <alignment vertical="center" wrapText="1"/>
      <protection locked="0"/>
    </xf>
    <xf numFmtId="0" fontId="27" fillId="3" borderId="13" xfId="0" applyFont="1" applyFill="1" applyBorder="1" applyAlignment="1">
      <alignment horizontal="justify" vertical="center"/>
    </xf>
    <xf numFmtId="0" fontId="4" fillId="3" borderId="8" xfId="0" applyFont="1" applyFill="1" applyBorder="1" applyAlignment="1" applyProtection="1">
      <alignment vertical="center"/>
      <protection locked="0"/>
    </xf>
    <xf numFmtId="0" fontId="68" fillId="0" borderId="0" xfId="0" applyFont="1" applyAlignment="1">
      <alignment wrapText="1"/>
    </xf>
    <xf numFmtId="0" fontId="8" fillId="3" borderId="69" xfId="0" applyFont="1" applyFill="1" applyBorder="1" applyAlignment="1" applyProtection="1">
      <alignment horizontal="left" vertical="center" wrapText="1"/>
      <protection locked="0"/>
    </xf>
    <xf numFmtId="0" fontId="27" fillId="3" borderId="50" xfId="0" applyFont="1" applyFill="1" applyBorder="1" applyAlignment="1" applyProtection="1">
      <alignment vertical="center" wrapText="1"/>
      <protection locked="0"/>
    </xf>
    <xf numFmtId="9" fontId="8" fillId="3" borderId="14" xfId="0" applyNumberFormat="1" applyFont="1" applyFill="1" applyBorder="1" applyAlignment="1" applyProtection="1">
      <alignment horizontal="center" vertical="center"/>
      <protection locked="0"/>
    </xf>
    <xf numFmtId="9" fontId="8" fillId="3" borderId="12" xfId="0" applyNumberFormat="1" applyFont="1" applyFill="1" applyBorder="1" applyAlignment="1" applyProtection="1">
      <alignment horizontal="center" vertical="center"/>
      <protection locked="0"/>
    </xf>
    <xf numFmtId="0" fontId="61" fillId="3" borderId="0" xfId="0" applyFont="1" applyFill="1" applyAlignment="1">
      <alignment wrapText="1"/>
    </xf>
    <xf numFmtId="0" fontId="4" fillId="3" borderId="57" xfId="0" applyFont="1" applyFill="1" applyBorder="1" applyAlignment="1" applyProtection="1">
      <alignment vertical="center" wrapText="1"/>
      <protection locked="0"/>
    </xf>
    <xf numFmtId="0" fontId="77" fillId="0" borderId="0" xfId="0" applyFont="1" applyAlignment="1">
      <alignment vertical="top"/>
    </xf>
    <xf numFmtId="0" fontId="78" fillId="0" borderId="0" xfId="0" applyFont="1" applyAlignment="1">
      <alignment horizontal="center" vertical="top"/>
    </xf>
    <xf numFmtId="0" fontId="78" fillId="0" borderId="0" xfId="0" applyFont="1" applyAlignment="1">
      <alignment vertical="top"/>
    </xf>
    <xf numFmtId="0" fontId="78" fillId="0" borderId="0" xfId="0" applyFont="1" applyAlignment="1">
      <alignment horizontal="left" vertical="top"/>
    </xf>
    <xf numFmtId="3" fontId="4" fillId="39" borderId="7" xfId="0" applyNumberFormat="1" applyFont="1" applyFill="1" applyBorder="1" applyAlignment="1" applyProtection="1">
      <alignment horizontal="center" vertical="center" wrapText="1"/>
      <protection locked="0"/>
    </xf>
    <xf numFmtId="9" fontId="79" fillId="4" borderId="8" xfId="0" applyNumberFormat="1" applyFont="1" applyFill="1" applyBorder="1" applyAlignment="1">
      <alignment vertical="top"/>
    </xf>
    <xf numFmtId="0" fontId="0" fillId="9" borderId="0" xfId="0" applyFill="1" applyAlignment="1">
      <alignment vertical="top"/>
    </xf>
    <xf numFmtId="9" fontId="0" fillId="39" borderId="16" xfId="3" applyFont="1" applyFill="1" applyBorder="1" applyAlignment="1" applyProtection="1">
      <alignment horizontal="center" vertical="center"/>
      <protection hidden="1"/>
    </xf>
    <xf numFmtId="9" fontId="4" fillId="41" borderId="8" xfId="0" applyNumberFormat="1" applyFont="1" applyFill="1" applyBorder="1" applyAlignment="1" applyProtection="1">
      <alignment vertical="top"/>
      <protection locked="0"/>
    </xf>
    <xf numFmtId="164" fontId="4" fillId="41" borderId="8" xfId="0" applyNumberFormat="1" applyFont="1" applyFill="1" applyBorder="1" applyAlignment="1" applyProtection="1">
      <alignment horizontal="center" vertical="center"/>
      <protection locked="0"/>
    </xf>
    <xf numFmtId="3" fontId="4" fillId="40" borderId="8" xfId="0" applyNumberFormat="1" applyFont="1" applyFill="1" applyBorder="1" applyAlignment="1">
      <alignment horizontal="center" vertical="center" wrapText="1"/>
    </xf>
    <xf numFmtId="3" fontId="4" fillId="40" borderId="8" xfId="0" applyNumberFormat="1" applyFont="1" applyFill="1" applyBorder="1" applyAlignment="1">
      <alignment horizontal="center" vertical="center"/>
    </xf>
    <xf numFmtId="0" fontId="7" fillId="3" borderId="51" xfId="0" applyFont="1" applyFill="1" applyBorder="1" applyAlignment="1" applyProtection="1">
      <alignment horizontal="center" vertical="top"/>
      <protection locked="0"/>
    </xf>
    <xf numFmtId="9" fontId="4" fillId="3" borderId="32" xfId="0" applyNumberFormat="1" applyFont="1" applyFill="1" applyBorder="1" applyAlignment="1">
      <alignment horizontal="right" vertical="center" wrapText="1"/>
    </xf>
    <xf numFmtId="0" fontId="84" fillId="36" borderId="12" xfId="0" applyFont="1" applyFill="1" applyBorder="1" applyAlignment="1">
      <alignment vertical="center" wrapText="1"/>
    </xf>
    <xf numFmtId="0" fontId="4" fillId="3" borderId="55" xfId="0" applyFont="1" applyFill="1" applyBorder="1" applyAlignment="1">
      <alignment vertical="top" wrapText="1"/>
    </xf>
    <xf numFmtId="0" fontId="4" fillId="39" borderId="8" xfId="0" applyFont="1" applyFill="1" applyBorder="1" applyAlignment="1">
      <alignment horizontal="center" vertical="center"/>
    </xf>
    <xf numFmtId="10" fontId="4" fillId="4" borderId="66" xfId="3" applyNumberFormat="1" applyFont="1" applyFill="1" applyBorder="1" applyAlignment="1">
      <alignment horizontal="center" vertical="center" wrapText="1"/>
    </xf>
    <xf numFmtId="10" fontId="4" fillId="4" borderId="72" xfId="3" applyNumberFormat="1" applyFont="1" applyFill="1" applyBorder="1" applyAlignment="1">
      <alignment horizontal="center" vertical="center" wrapText="1"/>
    </xf>
    <xf numFmtId="0" fontId="79" fillId="3" borderId="7" xfId="0" applyFont="1" applyFill="1" applyBorder="1" applyAlignment="1" applyProtection="1">
      <alignment horizontal="center" vertical="center"/>
      <protection locked="0"/>
    </xf>
    <xf numFmtId="9" fontId="4" fillId="31" borderId="8" xfId="3" applyFont="1" applyFill="1" applyBorder="1" applyAlignment="1" applyProtection="1">
      <alignment horizontal="center" vertical="center"/>
    </xf>
    <xf numFmtId="0" fontId="4" fillId="36" borderId="8" xfId="0" applyFont="1" applyFill="1" applyBorder="1" applyAlignment="1">
      <alignment horizontal="center" vertical="center"/>
    </xf>
    <xf numFmtId="0" fontId="61" fillId="3" borderId="69" xfId="0" applyFont="1" applyFill="1" applyBorder="1" applyAlignment="1">
      <alignment horizontal="justify" vertical="center"/>
    </xf>
    <xf numFmtId="0" fontId="4" fillId="0" borderId="0" xfId="0" applyFont="1" applyAlignment="1">
      <alignment horizontal="right" vertical="center" wrapText="1"/>
    </xf>
    <xf numFmtId="0" fontId="4" fillId="0" borderId="8" xfId="0" applyFont="1" applyBorder="1" applyAlignment="1" applyProtection="1">
      <alignment horizontal="left" vertical="center" wrapText="1"/>
      <protection locked="0"/>
    </xf>
    <xf numFmtId="0" fontId="12" fillId="0" borderId="0" xfId="0" applyFont="1" applyAlignment="1">
      <alignment vertical="center"/>
    </xf>
    <xf numFmtId="167" fontId="47" fillId="19" borderId="37" xfId="0" applyNumberFormat="1" applyFont="1" applyFill="1" applyBorder="1" applyAlignment="1">
      <alignment horizontal="right" vertical="center"/>
    </xf>
    <xf numFmtId="167" fontId="47" fillId="19" borderId="21" xfId="0" applyNumberFormat="1" applyFont="1" applyFill="1" applyBorder="1" applyAlignment="1">
      <alignment horizontal="right" vertical="center"/>
    </xf>
    <xf numFmtId="167" fontId="4" fillId="24" borderId="59" xfId="0" applyNumberFormat="1" applyFont="1" applyFill="1" applyBorder="1" applyAlignment="1">
      <alignment horizontal="right" vertical="center"/>
    </xf>
    <xf numFmtId="167" fontId="14" fillId="24" borderId="18" xfId="0" applyNumberFormat="1" applyFont="1" applyFill="1" applyBorder="1" applyAlignment="1">
      <alignment horizontal="right" vertical="center"/>
    </xf>
    <xf numFmtId="168" fontId="4" fillId="34" borderId="18" xfId="0" applyNumberFormat="1" applyFont="1" applyFill="1" applyBorder="1" applyAlignment="1">
      <alignment horizontal="right" vertical="center"/>
    </xf>
    <xf numFmtId="3" fontId="4" fillId="4" borderId="10" xfId="0" applyNumberFormat="1" applyFont="1" applyFill="1" applyBorder="1" applyAlignment="1">
      <alignment horizontal="center" vertical="center"/>
    </xf>
    <xf numFmtId="0" fontId="27" fillId="3" borderId="69" xfId="0" applyFont="1" applyFill="1" applyBorder="1" applyAlignment="1">
      <alignment horizontal="justify" vertical="center"/>
    </xf>
    <xf numFmtId="0" fontId="61" fillId="3" borderId="65" xfId="0" applyFont="1" applyFill="1" applyBorder="1" applyAlignment="1">
      <alignment wrapText="1"/>
    </xf>
    <xf numFmtId="0" fontId="27" fillId="3" borderId="5" xfId="0" applyFont="1" applyFill="1" applyBorder="1" applyAlignment="1">
      <alignment horizontal="justify" vertical="center"/>
    </xf>
    <xf numFmtId="0" fontId="61" fillId="3" borderId="50" xfId="0" applyFont="1" applyFill="1" applyBorder="1" applyAlignment="1">
      <alignment wrapText="1"/>
    </xf>
    <xf numFmtId="0" fontId="27" fillId="3" borderId="50" xfId="0" applyFont="1" applyFill="1" applyBorder="1" applyAlignment="1">
      <alignment vertical="center"/>
    </xf>
    <xf numFmtId="0" fontId="61" fillId="3" borderId="50" xfId="0" applyFont="1" applyFill="1" applyBorder="1" applyAlignment="1">
      <alignment vertical="center" wrapText="1"/>
    </xf>
    <xf numFmtId="3" fontId="59" fillId="3" borderId="50" xfId="5" applyNumberFormat="1" applyFont="1" applyFill="1" applyBorder="1" applyAlignment="1">
      <alignment wrapText="1"/>
    </xf>
    <xf numFmtId="0" fontId="61" fillId="3" borderId="50" xfId="0" applyFont="1" applyFill="1" applyBorder="1" applyAlignment="1">
      <alignment horizontal="justify" vertical="center" wrapText="1"/>
    </xf>
    <xf numFmtId="3" fontId="59" fillId="3" borderId="57" xfId="5" applyNumberFormat="1" applyFont="1" applyFill="1" applyBorder="1" applyAlignment="1">
      <alignment vertical="center" wrapText="1"/>
    </xf>
    <xf numFmtId="3" fontId="8" fillId="3" borderId="13" xfId="0" applyNumberFormat="1" applyFont="1" applyFill="1" applyBorder="1" applyAlignment="1" applyProtection="1">
      <alignment horizontal="center" wrapText="1"/>
      <protection locked="0"/>
    </xf>
    <xf numFmtId="0" fontId="4" fillId="4" borderId="11" xfId="0" applyFont="1" applyFill="1" applyBorder="1" applyAlignment="1">
      <alignment horizontal="center" vertical="center"/>
    </xf>
    <xf numFmtId="0" fontId="27" fillId="3" borderId="1" xfId="0" applyFont="1" applyFill="1" applyBorder="1" applyAlignment="1">
      <alignment horizontal="justify" vertical="center"/>
    </xf>
    <xf numFmtId="0" fontId="74" fillId="3" borderId="50" xfId="0" applyFont="1" applyFill="1" applyBorder="1" applyAlignment="1">
      <alignment horizontal="justify" vertical="center"/>
    </xf>
    <xf numFmtId="0" fontId="27" fillId="3" borderId="51" xfId="0" applyFont="1" applyFill="1" applyBorder="1"/>
    <xf numFmtId="0" fontId="22" fillId="0" borderId="12" xfId="0" applyFont="1" applyBorder="1" applyAlignment="1">
      <alignment horizontal="center" vertical="top"/>
    </xf>
    <xf numFmtId="0" fontId="87" fillId="3" borderId="51" xfId="0" applyFont="1" applyFill="1" applyBorder="1" applyAlignment="1" applyProtection="1">
      <alignment horizontal="left" vertical="center" wrapText="1"/>
      <protection locked="0"/>
    </xf>
    <xf numFmtId="0" fontId="87" fillId="3" borderId="50" xfId="0" applyFont="1" applyFill="1" applyBorder="1" applyAlignment="1" applyProtection="1">
      <alignment horizontal="left" vertical="center" wrapText="1"/>
      <protection locked="0"/>
    </xf>
    <xf numFmtId="10" fontId="4" fillId="3" borderId="16" xfId="0" applyNumberFormat="1" applyFont="1" applyFill="1" applyBorder="1" applyAlignment="1">
      <alignment horizontal="center" vertical="center" wrapText="1"/>
    </xf>
    <xf numFmtId="0" fontId="4" fillId="42" borderId="50" xfId="0" applyFont="1" applyFill="1" applyBorder="1" applyAlignment="1">
      <alignment horizontal="center" vertical="center"/>
    </xf>
    <xf numFmtId="0" fontId="4" fillId="43" borderId="20" xfId="0" applyFont="1" applyFill="1" applyBorder="1" applyAlignment="1">
      <alignment vertical="center" wrapText="1"/>
    </xf>
    <xf numFmtId="0" fontId="4" fillId="42" borderId="30" xfId="0" applyFont="1" applyFill="1" applyBorder="1" applyAlignment="1">
      <alignment horizontal="center" vertical="center" wrapText="1"/>
    </xf>
    <xf numFmtId="9" fontId="7" fillId="42" borderId="16" xfId="0" applyNumberFormat="1" applyFont="1" applyFill="1" applyBorder="1" applyAlignment="1">
      <alignment horizontal="right" vertical="center"/>
    </xf>
    <xf numFmtId="10" fontId="4" fillId="42" borderId="30" xfId="0" applyNumberFormat="1" applyFont="1" applyFill="1" applyBorder="1" applyAlignment="1">
      <alignment horizontal="center" vertical="center" wrapText="1"/>
    </xf>
    <xf numFmtId="10" fontId="4" fillId="42" borderId="66" xfId="3" applyNumberFormat="1" applyFont="1" applyFill="1" applyBorder="1" applyAlignment="1">
      <alignment horizontal="center" vertical="center" wrapText="1"/>
    </xf>
    <xf numFmtId="0" fontId="4" fillId="44" borderId="23" xfId="0" applyFont="1" applyFill="1" applyBorder="1" applyAlignment="1">
      <alignment vertical="center" wrapText="1"/>
    </xf>
    <xf numFmtId="9" fontId="7" fillId="42" borderId="37" xfId="0" applyNumberFormat="1" applyFont="1" applyFill="1" applyBorder="1" applyAlignment="1">
      <alignment horizontal="right" vertical="center"/>
    </xf>
    <xf numFmtId="10" fontId="4" fillId="42" borderId="16" xfId="0" applyNumberFormat="1" applyFont="1" applyFill="1" applyBorder="1" applyAlignment="1">
      <alignment horizontal="center" vertical="center" wrapText="1"/>
    </xf>
    <xf numFmtId="0" fontId="4" fillId="3" borderId="71" xfId="0" applyFont="1" applyFill="1" applyBorder="1" applyAlignment="1">
      <alignment vertical="center" wrapText="1"/>
    </xf>
    <xf numFmtId="0" fontId="4" fillId="3" borderId="69" xfId="0" applyFont="1" applyFill="1" applyBorder="1" applyAlignment="1">
      <alignment vertical="center" wrapText="1"/>
    </xf>
    <xf numFmtId="0" fontId="4" fillId="42" borderId="71" xfId="0" applyFont="1" applyFill="1" applyBorder="1" applyAlignment="1">
      <alignment vertical="center" wrapText="1"/>
    </xf>
    <xf numFmtId="0" fontId="4" fillId="3" borderId="50" xfId="0" applyFont="1" applyFill="1" applyBorder="1" applyAlignment="1">
      <alignment vertical="center" wrapText="1"/>
    </xf>
    <xf numFmtId="0" fontId="4" fillId="42" borderId="50" xfId="0" applyFont="1" applyFill="1" applyBorder="1" applyAlignment="1">
      <alignment vertical="center" wrapText="1"/>
    </xf>
    <xf numFmtId="3" fontId="8" fillId="6" borderId="1" xfId="0" applyNumberFormat="1" applyFont="1" applyFill="1" applyBorder="1" applyAlignment="1" applyProtection="1">
      <alignment horizontal="center" vertical="center" wrapText="1"/>
      <protection locked="0"/>
    </xf>
    <xf numFmtId="168" fontId="4" fillId="6" borderId="13" xfId="0" applyNumberFormat="1" applyFont="1" applyFill="1" applyBorder="1" applyAlignment="1" applyProtection="1">
      <alignment vertical="center" wrapText="1"/>
      <protection locked="0"/>
    </xf>
    <xf numFmtId="168" fontId="7" fillId="6" borderId="13" xfId="0" applyNumberFormat="1" applyFont="1" applyFill="1" applyBorder="1" applyAlignment="1" applyProtection="1">
      <alignment vertical="center" wrapText="1"/>
      <protection locked="0"/>
    </xf>
    <xf numFmtId="3" fontId="8" fillId="6" borderId="13" xfId="0" applyNumberFormat="1" applyFont="1" applyFill="1" applyBorder="1" applyAlignment="1" applyProtection="1">
      <alignment vertical="top" wrapText="1"/>
      <protection locked="0"/>
    </xf>
    <xf numFmtId="0" fontId="49" fillId="6" borderId="50" xfId="0" applyFont="1" applyFill="1" applyBorder="1" applyAlignment="1" applyProtection="1">
      <alignment vertical="top" wrapText="1"/>
      <protection locked="0"/>
    </xf>
    <xf numFmtId="0" fontId="49" fillId="6" borderId="19" xfId="0" applyFont="1" applyFill="1" applyBorder="1" applyAlignment="1" applyProtection="1">
      <alignment horizontal="center" vertical="center" wrapText="1"/>
      <protection locked="0"/>
    </xf>
    <xf numFmtId="0" fontId="49" fillId="6" borderId="50" xfId="0" applyFont="1" applyFill="1" applyBorder="1" applyAlignment="1" applyProtection="1">
      <alignment horizontal="center" vertical="center" wrapText="1"/>
      <protection locked="0"/>
    </xf>
    <xf numFmtId="0" fontId="4" fillId="3" borderId="69" xfId="0" applyFont="1" applyFill="1" applyBorder="1" applyAlignment="1" applyProtection="1">
      <alignment horizontal="center" vertical="center"/>
      <protection locked="0"/>
    </xf>
    <xf numFmtId="0" fontId="4" fillId="6" borderId="50" xfId="0" applyFont="1" applyFill="1" applyBorder="1" applyAlignment="1" applyProtection="1">
      <alignment horizontal="center" vertical="center"/>
      <protection locked="0"/>
    </xf>
    <xf numFmtId="0" fontId="4" fillId="46" borderId="20" xfId="0" applyFont="1" applyFill="1" applyBorder="1" applyAlignment="1">
      <alignment vertical="center" wrapText="1"/>
    </xf>
    <xf numFmtId="168" fontId="7" fillId="6" borderId="37" xfId="0" applyNumberFormat="1" applyFont="1" applyFill="1" applyBorder="1" applyAlignment="1" applyProtection="1">
      <alignment horizontal="right" vertical="center"/>
      <protection locked="0"/>
    </xf>
    <xf numFmtId="0" fontId="4" fillId="47" borderId="23" xfId="0" applyFont="1" applyFill="1" applyBorder="1" applyAlignment="1">
      <alignment vertical="center" wrapText="1"/>
    </xf>
    <xf numFmtId="0" fontId="4" fillId="6" borderId="30" xfId="0" applyFont="1" applyFill="1" applyBorder="1" applyAlignment="1">
      <alignment horizontal="center" vertical="center" wrapText="1"/>
    </xf>
    <xf numFmtId="9" fontId="4" fillId="31" borderId="69" xfId="3" applyFont="1" applyFill="1" applyBorder="1" applyAlignment="1">
      <alignment horizontal="center" vertical="center" wrapText="1"/>
    </xf>
    <xf numFmtId="9" fontId="4" fillId="31" borderId="50" xfId="3" applyFont="1" applyFill="1" applyBorder="1" applyAlignment="1">
      <alignment horizontal="center" vertical="center" wrapText="1"/>
    </xf>
    <xf numFmtId="9" fontId="4" fillId="4" borderId="50" xfId="3" applyFont="1" applyFill="1" applyBorder="1" applyAlignment="1">
      <alignment horizontal="center" vertical="center" wrapText="1"/>
    </xf>
    <xf numFmtId="168" fontId="4" fillId="3" borderId="8" xfId="0" applyNumberFormat="1" applyFont="1" applyFill="1" applyBorder="1" applyAlignment="1" applyProtection="1">
      <alignment horizontal="center" vertical="center" wrapText="1"/>
      <protection locked="0"/>
    </xf>
    <xf numFmtId="167" fontId="4" fillId="24" borderId="30" xfId="0" applyNumberFormat="1" applyFont="1" applyFill="1" applyBorder="1" applyAlignment="1">
      <alignment horizontal="right" vertical="center"/>
    </xf>
    <xf numFmtId="167" fontId="7" fillId="32" borderId="16" xfId="0" applyNumberFormat="1" applyFont="1" applyFill="1" applyBorder="1" applyAlignment="1">
      <alignment horizontal="right" vertical="center"/>
    </xf>
    <xf numFmtId="167" fontId="7" fillId="32" borderId="18" xfId="0" applyNumberFormat="1" applyFont="1" applyFill="1" applyBorder="1" applyAlignment="1">
      <alignment horizontal="right" vertical="center"/>
    </xf>
    <xf numFmtId="168" fontId="7" fillId="32" borderId="16" xfId="0" applyNumberFormat="1" applyFont="1" applyFill="1" applyBorder="1" applyAlignment="1">
      <alignment horizontal="right" vertical="center"/>
    </xf>
    <xf numFmtId="168" fontId="7" fillId="32" borderId="18" xfId="0" applyNumberFormat="1" applyFont="1" applyFill="1" applyBorder="1" applyAlignment="1">
      <alignment horizontal="right" vertical="center"/>
    </xf>
    <xf numFmtId="167" fontId="7" fillId="24" borderId="16" xfId="0" applyNumberFormat="1" applyFont="1" applyFill="1" applyBorder="1" applyAlignment="1">
      <alignment horizontal="right" vertical="center"/>
    </xf>
    <xf numFmtId="168" fontId="7" fillId="24" borderId="18" xfId="0" applyNumberFormat="1" applyFont="1" applyFill="1" applyBorder="1" applyAlignment="1">
      <alignment horizontal="right" vertical="center"/>
    </xf>
    <xf numFmtId="168" fontId="7" fillId="25" borderId="16" xfId="0" applyNumberFormat="1" applyFont="1" applyFill="1" applyBorder="1" applyAlignment="1">
      <alignment horizontal="right" vertical="center"/>
    </xf>
    <xf numFmtId="168" fontId="7" fillId="25" borderId="18" xfId="0" applyNumberFormat="1" applyFont="1" applyFill="1" applyBorder="1" applyAlignment="1">
      <alignment horizontal="right" vertical="center"/>
    </xf>
    <xf numFmtId="167" fontId="7" fillId="34" borderId="16" xfId="0" applyNumberFormat="1" applyFont="1" applyFill="1" applyBorder="1" applyAlignment="1">
      <alignment horizontal="right" vertical="center"/>
    </xf>
    <xf numFmtId="168" fontId="7" fillId="34" borderId="18" xfId="0" applyNumberFormat="1" applyFont="1" applyFill="1" applyBorder="1" applyAlignment="1">
      <alignment horizontal="right" vertical="center"/>
    </xf>
    <xf numFmtId="167" fontId="7" fillId="3" borderId="16" xfId="0" applyNumberFormat="1" applyFont="1" applyFill="1" applyBorder="1" applyAlignment="1">
      <alignment horizontal="right" vertical="center"/>
    </xf>
    <xf numFmtId="168" fontId="58" fillId="32" borderId="18" xfId="0" applyNumberFormat="1" applyFont="1" applyFill="1" applyBorder="1" applyAlignment="1">
      <alignment horizontal="right" vertical="center"/>
    </xf>
    <xf numFmtId="167" fontId="7" fillId="34" borderId="18" xfId="0" applyNumberFormat="1" applyFont="1" applyFill="1" applyBorder="1" applyAlignment="1">
      <alignment horizontal="right" vertical="center"/>
    </xf>
    <xf numFmtId="168" fontId="58" fillId="34" borderId="18" xfId="0" applyNumberFormat="1" applyFont="1" applyFill="1" applyBorder="1" applyAlignment="1">
      <alignment horizontal="right" vertical="center"/>
    </xf>
    <xf numFmtId="167" fontId="7" fillId="32" borderId="36" xfId="0" applyNumberFormat="1" applyFont="1" applyFill="1" applyBorder="1" applyAlignment="1">
      <alignment horizontal="right" vertical="center"/>
    </xf>
    <xf numFmtId="168" fontId="58" fillId="32" borderId="60" xfId="0" applyNumberFormat="1" applyFont="1" applyFill="1" applyBorder="1" applyAlignment="1">
      <alignment horizontal="right" vertical="center"/>
    </xf>
    <xf numFmtId="2" fontId="4" fillId="3" borderId="7" xfId="0" applyNumberFormat="1" applyFont="1" applyFill="1" applyBorder="1" applyAlignment="1" applyProtection="1">
      <alignment horizontal="center" vertical="center"/>
      <protection locked="0"/>
    </xf>
    <xf numFmtId="0" fontId="17" fillId="0" borderId="0" xfId="2" applyFill="1" applyAlignment="1">
      <alignment wrapText="1"/>
    </xf>
    <xf numFmtId="0" fontId="57" fillId="0" borderId="33" xfId="0" applyFont="1" applyBorder="1" applyAlignment="1">
      <alignment vertical="center"/>
    </xf>
    <xf numFmtId="0" fontId="4" fillId="6" borderId="8" xfId="0" applyFont="1" applyFill="1" applyBorder="1" applyAlignment="1">
      <alignment horizontal="right" vertical="top"/>
    </xf>
    <xf numFmtId="0" fontId="14" fillId="0" borderId="0" xfId="0" applyFont="1" applyAlignment="1" applyProtection="1">
      <alignment vertical="top" wrapText="1"/>
      <protection locked="0"/>
    </xf>
    <xf numFmtId="0" fontId="30" fillId="11" borderId="14" xfId="5" applyFont="1" applyFill="1" applyBorder="1" applyAlignment="1">
      <alignment vertical="center" wrapText="1"/>
    </xf>
    <xf numFmtId="0" fontId="7" fillId="3" borderId="37" xfId="0" applyFont="1" applyFill="1" applyBorder="1" applyAlignment="1" applyProtection="1">
      <alignment horizontal="center" vertical="top"/>
      <protection locked="0"/>
    </xf>
    <xf numFmtId="0" fontId="14" fillId="9" borderId="19" xfId="0" applyFont="1" applyFill="1" applyBorder="1" applyAlignment="1" applyProtection="1">
      <alignment vertical="top" wrapText="1"/>
      <protection locked="0"/>
    </xf>
    <xf numFmtId="0" fontId="14" fillId="3" borderId="14" xfId="0" applyFont="1" applyFill="1" applyBorder="1" applyAlignment="1" applyProtection="1">
      <alignment vertical="top" wrapText="1"/>
      <protection locked="0"/>
    </xf>
    <xf numFmtId="0" fontId="14" fillId="3" borderId="15" xfId="0" applyFont="1" applyFill="1" applyBorder="1" applyAlignment="1" applyProtection="1">
      <alignment vertical="top" wrapText="1"/>
      <protection locked="0"/>
    </xf>
    <xf numFmtId="0" fontId="14" fillId="3" borderId="7" xfId="0" applyFont="1" applyFill="1" applyBorder="1" applyAlignment="1" applyProtection="1">
      <alignment vertical="top" wrapText="1"/>
      <protection locked="0"/>
    </xf>
    <xf numFmtId="0" fontId="4" fillId="0" borderId="0" xfId="0" applyFont="1" applyAlignment="1">
      <alignment horizontal="center" vertical="center" wrapText="1"/>
    </xf>
    <xf numFmtId="17" fontId="4" fillId="0" borderId="13" xfId="0" applyNumberFormat="1" applyFont="1" applyBorder="1" applyAlignment="1">
      <alignment horizontal="center" vertical="top" wrapText="1"/>
    </xf>
    <xf numFmtId="0" fontId="88" fillId="3" borderId="8" xfId="2" applyFont="1" applyFill="1" applyBorder="1" applyAlignment="1" applyProtection="1">
      <alignment horizontal="left" vertical="top" wrapText="1"/>
      <protection locked="0"/>
    </xf>
    <xf numFmtId="0" fontId="58" fillId="3" borderId="8" xfId="0" applyFont="1" applyFill="1" applyBorder="1" applyAlignment="1" applyProtection="1">
      <alignment vertical="center" wrapText="1"/>
      <protection locked="0"/>
    </xf>
    <xf numFmtId="3" fontId="62" fillId="3" borderId="13" xfId="0" applyNumberFormat="1" applyFont="1" applyFill="1" applyBorder="1" applyAlignment="1" applyProtection="1">
      <alignment vertical="center" wrapText="1"/>
      <protection locked="0"/>
    </xf>
    <xf numFmtId="3" fontId="62" fillId="3" borderId="50" xfId="0" applyNumberFormat="1" applyFont="1" applyFill="1" applyBorder="1" applyAlignment="1" applyProtection="1">
      <alignment vertical="center" wrapText="1"/>
      <protection locked="0"/>
    </xf>
    <xf numFmtId="0" fontId="46" fillId="3" borderId="5" xfId="0" applyFont="1" applyFill="1" applyBorder="1" applyAlignment="1" applyProtection="1">
      <alignment vertical="center" wrapText="1"/>
      <protection locked="0"/>
    </xf>
    <xf numFmtId="0" fontId="46" fillId="3" borderId="69" xfId="0" applyFont="1" applyFill="1" applyBorder="1" applyAlignment="1" applyProtection="1">
      <alignment vertical="center" wrapText="1"/>
      <protection locked="0"/>
    </xf>
    <xf numFmtId="168" fontId="4" fillId="6" borderId="1" xfId="0" applyNumberFormat="1" applyFont="1" applyFill="1" applyBorder="1" applyAlignment="1" applyProtection="1">
      <alignment vertical="center" wrapText="1"/>
      <protection locked="0"/>
    </xf>
    <xf numFmtId="168" fontId="7" fillId="6" borderId="1" xfId="0" applyNumberFormat="1" applyFont="1" applyFill="1" applyBorder="1" applyAlignment="1" applyProtection="1">
      <alignment vertical="center" wrapText="1"/>
      <protection locked="0"/>
    </xf>
    <xf numFmtId="0" fontId="4" fillId="39" borderId="8" xfId="0" applyFont="1" applyFill="1" applyBorder="1" applyAlignment="1" applyProtection="1">
      <alignment vertical="center" wrapText="1"/>
      <protection locked="0"/>
    </xf>
    <xf numFmtId="0" fontId="4" fillId="39" borderId="12" xfId="0" applyFont="1" applyFill="1" applyBorder="1" applyAlignment="1" applyProtection="1">
      <alignment vertical="center"/>
      <protection locked="0"/>
    </xf>
    <xf numFmtId="0" fontId="7" fillId="39" borderId="8" xfId="0" applyFont="1" applyFill="1" applyBorder="1" applyAlignment="1" applyProtection="1">
      <alignment vertical="center" wrapText="1"/>
      <protection locked="0"/>
    </xf>
    <xf numFmtId="168" fontId="7" fillId="39" borderId="8" xfId="0" applyNumberFormat="1" applyFont="1" applyFill="1" applyBorder="1" applyAlignment="1" applyProtection="1">
      <alignment vertical="center"/>
      <protection locked="0"/>
    </xf>
    <xf numFmtId="168" fontId="7" fillId="39" borderId="11" xfId="0" applyNumberFormat="1" applyFont="1" applyFill="1" applyBorder="1" applyAlignment="1" applyProtection="1">
      <alignment vertical="center"/>
      <protection locked="0"/>
    </xf>
    <xf numFmtId="0" fontId="8" fillId="39" borderId="12" xfId="0" applyFont="1" applyFill="1" applyBorder="1" applyAlignment="1">
      <alignment horizontal="justify" vertical="center"/>
    </xf>
    <xf numFmtId="0" fontId="67" fillId="0" borderId="4" xfId="0" applyFont="1" applyBorder="1" applyAlignment="1">
      <alignment horizontal="center" vertical="center" wrapText="1"/>
    </xf>
    <xf numFmtId="0" fontId="67" fillId="0" borderId="8" xfId="0" applyFont="1" applyBorder="1" applyAlignment="1">
      <alignment horizontal="center" vertical="center" wrapText="1"/>
    </xf>
    <xf numFmtId="0" fontId="89" fillId="3" borderId="8" xfId="0" applyFont="1" applyFill="1" applyBorder="1" applyAlignment="1" applyProtection="1">
      <alignment horizontal="center" vertical="center"/>
      <protection locked="0"/>
    </xf>
    <xf numFmtId="0" fontId="2" fillId="3" borderId="8" xfId="0" applyFont="1" applyFill="1" applyBorder="1" applyAlignment="1" applyProtection="1">
      <alignment horizontal="center" vertical="center"/>
      <protection locked="0"/>
    </xf>
    <xf numFmtId="9" fontId="0" fillId="6" borderId="14" xfId="0" applyNumberFormat="1" applyFill="1" applyBorder="1" applyAlignment="1">
      <alignment horizontal="center" vertical="top"/>
    </xf>
    <xf numFmtId="0" fontId="0" fillId="3" borderId="69" xfId="0" applyFill="1" applyBorder="1" applyAlignment="1">
      <alignment vertical="top"/>
    </xf>
    <xf numFmtId="0" fontId="0" fillId="7" borderId="50" xfId="0" applyFill="1" applyBorder="1" applyAlignment="1">
      <alignment vertical="top"/>
    </xf>
    <xf numFmtId="0" fontId="0" fillId="6" borderId="51" xfId="0" applyFill="1" applyBorder="1" applyAlignment="1">
      <alignment vertical="top"/>
    </xf>
    <xf numFmtId="167" fontId="90" fillId="30" borderId="20" xfId="0" applyNumberFormat="1" applyFont="1" applyFill="1" applyBorder="1" applyAlignment="1">
      <alignment horizontal="right" vertical="center"/>
    </xf>
    <xf numFmtId="167" fontId="90" fillId="30" borderId="18" xfId="0" applyNumberFormat="1" applyFont="1" applyFill="1" applyBorder="1" applyAlignment="1">
      <alignment horizontal="right" vertical="center"/>
    </xf>
    <xf numFmtId="167" fontId="90" fillId="45" borderId="20" xfId="0" applyNumberFormat="1" applyFont="1" applyFill="1" applyBorder="1" applyAlignment="1">
      <alignment horizontal="right" vertical="center"/>
    </xf>
    <xf numFmtId="168" fontId="90" fillId="6" borderId="18" xfId="0" applyNumberFormat="1" applyFont="1" applyFill="1" applyBorder="1" applyAlignment="1" applyProtection="1">
      <alignment vertical="center"/>
      <protection locked="0"/>
    </xf>
    <xf numFmtId="167" fontId="90" fillId="23" borderId="56" xfId="0" applyNumberFormat="1" applyFont="1" applyFill="1" applyBorder="1" applyAlignment="1">
      <alignment horizontal="right" vertical="center"/>
    </xf>
    <xf numFmtId="167" fontId="90" fillId="19" borderId="60" xfId="0" applyNumberFormat="1" applyFont="1" applyFill="1" applyBorder="1" applyAlignment="1">
      <alignment horizontal="right" vertical="center"/>
    </xf>
    <xf numFmtId="0" fontId="66" fillId="0" borderId="6" xfId="0" applyFont="1" applyBorder="1" applyAlignment="1">
      <alignment horizontal="center" vertical="center" wrapText="1"/>
    </xf>
    <xf numFmtId="0" fontId="66" fillId="0" borderId="12" xfId="0" applyFont="1" applyBorder="1" applyAlignment="1">
      <alignment horizontal="center" vertical="center" wrapText="1"/>
    </xf>
    <xf numFmtId="0" fontId="4" fillId="0" borderId="12" xfId="0" applyFont="1" applyBorder="1" applyAlignment="1">
      <alignment horizontal="left" vertical="top" wrapText="1"/>
    </xf>
    <xf numFmtId="0" fontId="67" fillId="0" borderId="12" xfId="0" applyFont="1" applyBorder="1" applyAlignment="1">
      <alignment horizontal="center" vertical="center" wrapText="1"/>
    </xf>
    <xf numFmtId="0" fontId="2" fillId="0" borderId="8" xfId="0" applyFont="1" applyBorder="1" applyAlignment="1">
      <alignment horizontal="center" vertical="center"/>
    </xf>
    <xf numFmtId="0" fontId="3" fillId="3" borderId="8" xfId="0" applyFont="1" applyFill="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3" fontId="58" fillId="0" borderId="7" xfId="0" applyNumberFormat="1" applyFont="1" applyBorder="1" applyAlignment="1" applyProtection="1">
      <alignment horizontal="center" vertical="center" wrapText="1"/>
      <protection locked="0"/>
    </xf>
    <xf numFmtId="0" fontId="91" fillId="3" borderId="8" xfId="0" applyFont="1" applyFill="1" applyBorder="1" applyAlignment="1" applyProtection="1">
      <alignment horizontal="center" vertical="top"/>
      <protection locked="0"/>
    </xf>
    <xf numFmtId="0" fontId="0" fillId="0" borderId="13" xfId="0" applyBorder="1" applyAlignment="1" applyProtection="1">
      <alignment vertical="top" wrapText="1"/>
      <protection locked="0"/>
    </xf>
    <xf numFmtId="0" fontId="0" fillId="0" borderId="12" xfId="0" applyBorder="1" applyAlignment="1" applyProtection="1">
      <alignment horizontal="center" vertical="top" wrapText="1"/>
      <protection locked="0"/>
    </xf>
    <xf numFmtId="3" fontId="4" fillId="9" borderId="7" xfId="0" applyNumberFormat="1" applyFont="1" applyFill="1" applyBorder="1" applyAlignment="1" applyProtection="1">
      <alignment horizontal="center" wrapText="1"/>
      <protection locked="0"/>
    </xf>
    <xf numFmtId="3" fontId="4" fillId="9" borderId="7" xfId="0" applyNumberFormat="1" applyFont="1" applyFill="1" applyBorder="1" applyAlignment="1" applyProtection="1">
      <alignment horizontal="center" vertical="center" wrapText="1"/>
      <protection locked="0"/>
    </xf>
    <xf numFmtId="0" fontId="46" fillId="3" borderId="51" xfId="0" applyFont="1" applyFill="1" applyBorder="1" applyAlignment="1" applyProtection="1">
      <alignment vertical="top" wrapText="1"/>
      <protection locked="0"/>
    </xf>
    <xf numFmtId="3" fontId="75" fillId="3" borderId="49" xfId="5" applyNumberFormat="1" applyFont="1" applyFill="1" applyBorder="1" applyAlignment="1">
      <alignment vertical="center" wrapText="1"/>
    </xf>
    <xf numFmtId="0" fontId="17" fillId="5" borderId="8" xfId="2" applyFill="1" applyBorder="1" applyAlignment="1" applyProtection="1">
      <alignment horizontal="left" vertical="top"/>
      <protection locked="0"/>
    </xf>
    <xf numFmtId="0" fontId="39" fillId="49" borderId="74" xfId="0" applyFont="1" applyFill="1" applyBorder="1" applyAlignment="1">
      <alignment horizontal="center" vertical="center" wrapText="1"/>
    </xf>
    <xf numFmtId="0" fontId="39" fillId="49" borderId="75" xfId="0" applyFont="1" applyFill="1" applyBorder="1" applyAlignment="1">
      <alignment horizontal="center" vertical="center" wrapText="1"/>
    </xf>
    <xf numFmtId="9" fontId="39" fillId="52" borderId="83" xfId="0" applyNumberFormat="1" applyFont="1" applyFill="1" applyBorder="1" applyAlignment="1">
      <alignment horizontal="center" vertical="center" wrapText="1"/>
    </xf>
    <xf numFmtId="0" fontId="39" fillId="55" borderId="75" xfId="0" applyFont="1" applyFill="1" applyBorder="1" applyAlignment="1">
      <alignment horizontal="center" vertical="center" wrapText="1"/>
    </xf>
    <xf numFmtId="0" fontId="39" fillId="51" borderId="74" xfId="0" applyFont="1" applyFill="1" applyBorder="1" applyAlignment="1">
      <alignment horizontal="center" vertical="center" wrapText="1"/>
    </xf>
    <xf numFmtId="9" fontId="39" fillId="52" borderId="74" xfId="0" applyNumberFormat="1" applyFont="1" applyFill="1" applyBorder="1" applyAlignment="1">
      <alignment horizontal="center" vertical="center" wrapText="1"/>
    </xf>
    <xf numFmtId="0" fontId="39" fillId="52" borderId="74" xfId="0" applyFont="1" applyFill="1" applyBorder="1" applyAlignment="1">
      <alignment horizontal="center" vertical="center" wrapText="1"/>
    </xf>
    <xf numFmtId="0" fontId="39" fillId="55" borderId="74" xfId="0" applyFont="1" applyFill="1" applyBorder="1" applyAlignment="1">
      <alignment horizontal="center" vertical="center" wrapText="1"/>
    </xf>
    <xf numFmtId="44" fontId="39" fillId="56" borderId="74" xfId="11" applyFont="1" applyFill="1" applyBorder="1" applyAlignment="1">
      <alignment horizontal="center" vertical="center" wrapText="1"/>
    </xf>
    <xf numFmtId="0" fontId="39" fillId="56" borderId="74" xfId="0" applyFont="1" applyFill="1" applyBorder="1" applyAlignment="1">
      <alignment horizontal="center" vertical="center" wrapText="1"/>
    </xf>
    <xf numFmtId="0" fontId="95" fillId="59" borderId="87" xfId="0" applyFont="1" applyFill="1" applyBorder="1" applyAlignment="1">
      <alignment vertical="center" wrapText="1"/>
    </xf>
    <xf numFmtId="0" fontId="32" fillId="59" borderId="88" xfId="0" applyFont="1" applyFill="1" applyBorder="1" applyAlignment="1">
      <alignment vertical="center" wrapText="1"/>
    </xf>
    <xf numFmtId="3" fontId="32" fillId="59" borderId="88" xfId="0" applyNumberFormat="1" applyFont="1" applyFill="1" applyBorder="1" applyAlignment="1">
      <alignment vertical="center" wrapText="1"/>
    </xf>
    <xf numFmtId="1" fontId="32" fillId="59" borderId="88" xfId="0" applyNumberFormat="1" applyFont="1" applyFill="1" applyBorder="1" applyAlignment="1">
      <alignment horizontal="center" vertical="center" wrapText="1"/>
    </xf>
    <xf numFmtId="10" fontId="32" fillId="59" borderId="88" xfId="3" applyNumberFormat="1" applyFont="1" applyFill="1" applyBorder="1" applyAlignment="1">
      <alignment horizontal="center" vertical="center" wrapText="1"/>
    </xf>
    <xf numFmtId="0" fontId="32" fillId="59" borderId="88" xfId="17" applyNumberFormat="1" applyFont="1" applyFill="1" applyBorder="1" applyAlignment="1">
      <alignment horizontal="center" vertical="center" wrapText="1"/>
    </xf>
    <xf numFmtId="0" fontId="60" fillId="59" borderId="88" xfId="0" applyFont="1" applyFill="1" applyBorder="1" applyAlignment="1">
      <alignment horizontal="center" vertical="center" wrapText="1"/>
    </xf>
    <xf numFmtId="0" fontId="32" fillId="59" borderId="88" xfId="0" applyFont="1" applyFill="1" applyBorder="1" applyAlignment="1">
      <alignment horizontal="center" vertical="center" wrapText="1"/>
    </xf>
    <xf numFmtId="3" fontId="32" fillId="59" borderId="88" xfId="0" applyNumberFormat="1" applyFont="1" applyFill="1" applyBorder="1" applyAlignment="1">
      <alignment horizontal="center" vertical="center" wrapText="1"/>
    </xf>
    <xf numFmtId="10" fontId="32" fillId="59" borderId="88" xfId="17" applyNumberFormat="1" applyFont="1" applyFill="1" applyBorder="1" applyAlignment="1">
      <alignment horizontal="center" vertical="center" wrapText="1"/>
    </xf>
    <xf numFmtId="10" fontId="32" fillId="59" borderId="88" xfId="0" applyNumberFormat="1" applyFont="1" applyFill="1" applyBorder="1" applyAlignment="1">
      <alignment horizontal="center" vertical="center" wrapText="1"/>
    </xf>
    <xf numFmtId="4" fontId="32" fillId="59" borderId="88" xfId="0" applyNumberFormat="1" applyFont="1" applyFill="1" applyBorder="1" applyAlignment="1">
      <alignment vertical="center" wrapText="1"/>
    </xf>
    <xf numFmtId="4" fontId="32" fillId="59" borderId="83" xfId="0" applyNumberFormat="1" applyFont="1" applyFill="1" applyBorder="1" applyAlignment="1">
      <alignment vertical="center" wrapText="1"/>
    </xf>
    <xf numFmtId="10" fontId="32" fillId="59" borderId="88" xfId="3" applyNumberFormat="1" applyFont="1" applyFill="1" applyBorder="1" applyAlignment="1">
      <alignment vertical="center" wrapText="1"/>
    </xf>
    <xf numFmtId="3" fontId="96" fillId="59" borderId="88" xfId="0" applyNumberFormat="1" applyFont="1" applyFill="1" applyBorder="1" applyAlignment="1">
      <alignment vertical="center" wrapText="1"/>
    </xf>
    <xf numFmtId="3" fontId="96" fillId="59" borderId="89" xfId="0" applyNumberFormat="1" applyFont="1" applyFill="1" applyBorder="1" applyAlignment="1">
      <alignment vertical="center" wrapText="1"/>
    </xf>
    <xf numFmtId="0" fontId="32" fillId="60" borderId="90" xfId="0" applyFont="1" applyFill="1" applyBorder="1" applyAlignment="1">
      <alignment vertical="center" wrapText="1"/>
    </xf>
    <xf numFmtId="0" fontId="32" fillId="60" borderId="74" xfId="0" applyFont="1" applyFill="1" applyBorder="1" applyAlignment="1">
      <alignment vertical="center" wrapText="1"/>
    </xf>
    <xf numFmtId="3" fontId="29" fillId="60" borderId="74" xfId="0" applyNumberFormat="1" applyFont="1" applyFill="1" applyBorder="1" applyAlignment="1">
      <alignment vertical="center" wrapText="1"/>
    </xf>
    <xf numFmtId="1" fontId="29" fillId="60" borderId="74" xfId="0" applyNumberFormat="1" applyFont="1" applyFill="1" applyBorder="1" applyAlignment="1">
      <alignment horizontal="center" vertical="center" wrapText="1"/>
    </xf>
    <xf numFmtId="1" fontId="32" fillId="60" borderId="74" xfId="0" applyNumberFormat="1" applyFont="1" applyFill="1" applyBorder="1" applyAlignment="1">
      <alignment horizontal="center" vertical="center" wrapText="1"/>
    </xf>
    <xf numFmtId="10" fontId="32" fillId="60" borderId="74" xfId="17" applyNumberFormat="1" applyFont="1" applyFill="1" applyBorder="1" applyAlignment="1">
      <alignment horizontal="center" vertical="center" wrapText="1"/>
    </xf>
    <xf numFmtId="0" fontId="32" fillId="60" borderId="74" xfId="17" applyNumberFormat="1" applyFont="1" applyFill="1" applyBorder="1" applyAlignment="1">
      <alignment horizontal="center" vertical="center" wrapText="1"/>
    </xf>
    <xf numFmtId="0" fontId="59" fillId="60" borderId="74" xfId="0" applyFont="1" applyFill="1" applyBorder="1" applyAlignment="1">
      <alignment vertical="center" wrapText="1"/>
    </xf>
    <xf numFmtId="0" fontId="29" fillId="60" borderId="74" xfId="0" applyFont="1" applyFill="1" applyBorder="1" applyAlignment="1">
      <alignment vertical="center" wrapText="1"/>
    </xf>
    <xf numFmtId="3" fontId="29" fillId="60" borderId="74" xfId="0" applyNumberFormat="1" applyFont="1" applyFill="1" applyBorder="1" applyAlignment="1">
      <alignment horizontal="center" vertical="center" wrapText="1"/>
    </xf>
    <xf numFmtId="10" fontId="32" fillId="60" borderId="74" xfId="0" applyNumberFormat="1" applyFont="1" applyFill="1" applyBorder="1" applyAlignment="1">
      <alignment horizontal="center" vertical="center" wrapText="1"/>
    </xf>
    <xf numFmtId="4" fontId="32" fillId="60" borderId="74" xfId="0" applyNumberFormat="1" applyFont="1" applyFill="1" applyBorder="1" applyAlignment="1">
      <alignment vertical="center" wrapText="1"/>
    </xf>
    <xf numFmtId="10" fontId="32" fillId="60" borderId="74" xfId="3" applyNumberFormat="1" applyFont="1" applyFill="1" applyBorder="1" applyAlignment="1">
      <alignment horizontal="center" vertical="center" wrapText="1"/>
    </xf>
    <xf numFmtId="10" fontId="29" fillId="60" borderId="74" xfId="0" applyNumberFormat="1" applyFont="1" applyFill="1" applyBorder="1" applyAlignment="1">
      <alignment horizontal="center" vertical="center" wrapText="1"/>
    </xf>
    <xf numFmtId="10" fontId="32" fillId="60" borderId="74" xfId="0" applyNumberFormat="1" applyFont="1" applyFill="1" applyBorder="1" applyAlignment="1">
      <alignment vertical="center" wrapText="1"/>
    </xf>
    <xf numFmtId="10" fontId="32" fillId="60" borderId="74" xfId="3" applyNumberFormat="1" applyFont="1" applyFill="1" applyBorder="1" applyAlignment="1">
      <alignment vertical="center" wrapText="1"/>
    </xf>
    <xf numFmtId="3" fontId="32" fillId="60" borderId="74" xfId="0" applyNumberFormat="1" applyFont="1" applyFill="1" applyBorder="1" applyAlignment="1">
      <alignment vertical="center" wrapText="1"/>
    </xf>
    <xf numFmtId="3" fontId="96" fillId="60" borderId="74" xfId="0" applyNumberFormat="1" applyFont="1" applyFill="1" applyBorder="1" applyAlignment="1">
      <alignment vertical="center" wrapText="1"/>
    </xf>
    <xf numFmtId="3" fontId="96" fillId="60" borderId="91" xfId="0" applyNumberFormat="1" applyFont="1" applyFill="1" applyBorder="1" applyAlignment="1">
      <alignment vertical="center" wrapText="1"/>
    </xf>
    <xf numFmtId="0" fontId="32" fillId="61" borderId="92" xfId="0" applyFont="1" applyFill="1" applyBorder="1" applyAlignment="1">
      <alignment vertical="center" wrapText="1"/>
    </xf>
    <xf numFmtId="0" fontId="32" fillId="61" borderId="93" xfId="0" applyFont="1" applyFill="1" applyBorder="1" applyAlignment="1">
      <alignment vertical="center" wrapText="1"/>
    </xf>
    <xf numFmtId="3" fontId="32" fillId="61" borderId="93" xfId="0" applyNumberFormat="1" applyFont="1" applyFill="1" applyBorder="1" applyAlignment="1">
      <alignment vertical="center" wrapText="1"/>
    </xf>
    <xf numFmtId="1" fontId="32" fillId="61" borderId="93" xfId="0" applyNumberFormat="1" applyFont="1" applyFill="1" applyBorder="1" applyAlignment="1">
      <alignment horizontal="center" vertical="center" wrapText="1"/>
    </xf>
    <xf numFmtId="10" fontId="32" fillId="61" borderId="93" xfId="17" applyNumberFormat="1" applyFont="1" applyFill="1" applyBorder="1" applyAlignment="1">
      <alignment horizontal="center" vertical="center" wrapText="1"/>
    </xf>
    <xf numFmtId="10" fontId="32" fillId="61" borderId="93" xfId="0" applyNumberFormat="1" applyFont="1" applyFill="1" applyBorder="1" applyAlignment="1">
      <alignment horizontal="center" vertical="center" wrapText="1"/>
    </xf>
    <xf numFmtId="9" fontId="32" fillId="61" borderId="93" xfId="0" applyNumberFormat="1" applyFont="1" applyFill="1" applyBorder="1" applyAlignment="1">
      <alignment horizontal="center" vertical="center" wrapText="1"/>
    </xf>
    <xf numFmtId="0" fontId="60" fillId="61" borderId="93" xfId="0" applyFont="1" applyFill="1" applyBorder="1" applyAlignment="1">
      <alignment vertical="center" wrapText="1"/>
    </xf>
    <xf numFmtId="3" fontId="32" fillId="61" borderId="93" xfId="0" applyNumberFormat="1" applyFont="1" applyFill="1" applyBorder="1" applyAlignment="1">
      <alignment horizontal="center" vertical="center" wrapText="1"/>
    </xf>
    <xf numFmtId="4" fontId="32" fillId="61" borderId="93" xfId="0" applyNumberFormat="1" applyFont="1" applyFill="1" applyBorder="1" applyAlignment="1">
      <alignment horizontal="center" vertical="center" wrapText="1"/>
    </xf>
    <xf numFmtId="10" fontId="32" fillId="61" borderId="94" xfId="3" applyNumberFormat="1" applyFont="1" applyFill="1" applyBorder="1" applyAlignment="1">
      <alignment horizontal="center" vertical="center" wrapText="1"/>
    </xf>
    <xf numFmtId="10" fontId="32" fillId="61" borderId="93" xfId="3" applyNumberFormat="1" applyFont="1" applyFill="1" applyBorder="1" applyAlignment="1">
      <alignment horizontal="center" vertical="center" wrapText="1"/>
    </xf>
    <xf numFmtId="3" fontId="96" fillId="61" borderId="93" xfId="0" applyNumberFormat="1" applyFont="1" applyFill="1" applyBorder="1" applyAlignment="1">
      <alignment vertical="center" wrapText="1"/>
    </xf>
    <xf numFmtId="3" fontId="96" fillId="61" borderId="95" xfId="0" applyNumberFormat="1" applyFont="1" applyFill="1" applyBorder="1" applyAlignment="1">
      <alignment vertical="center" wrapText="1"/>
    </xf>
    <xf numFmtId="0" fontId="97" fillId="9" borderId="31" xfId="0" applyFont="1" applyFill="1" applyBorder="1" applyAlignment="1">
      <alignment horizontal="justify" vertical="center" wrapText="1"/>
    </xf>
    <xf numFmtId="0" fontId="97" fillId="0" borderId="32" xfId="0" applyFont="1" applyBorder="1" applyAlignment="1">
      <alignment horizontal="justify" vertical="center" wrapText="1"/>
    </xf>
    <xf numFmtId="0" fontId="29" fillId="0" borderId="88" xfId="0" applyFont="1" applyBorder="1" applyAlignment="1">
      <alignment horizontal="center" vertical="center" wrapText="1"/>
    </xf>
    <xf numFmtId="0" fontId="31" fillId="9" borderId="31" xfId="14" applyFont="1" applyFill="1" applyBorder="1" applyAlignment="1">
      <alignment horizontal="center" vertical="center" wrapText="1"/>
    </xf>
    <xf numFmtId="0" fontId="31" fillId="9" borderId="32" xfId="14" applyFont="1" applyFill="1" applyBorder="1" applyAlignment="1">
      <alignment horizontal="center" vertical="center" wrapText="1"/>
    </xf>
    <xf numFmtId="0" fontId="31" fillId="9" borderId="59" xfId="14" applyFont="1" applyFill="1" applyBorder="1" applyAlignment="1">
      <alignment horizontal="center" vertical="center" wrapText="1"/>
    </xf>
    <xf numFmtId="0" fontId="29" fillId="0" borderId="88" xfId="0" applyFont="1" applyBorder="1" applyAlignment="1">
      <alignment horizontal="center" vertical="center"/>
    </xf>
    <xf numFmtId="1" fontId="29" fillId="0" borderId="88" xfId="0" applyNumberFormat="1" applyFont="1" applyBorder="1" applyAlignment="1">
      <alignment horizontal="center" vertical="center" wrapText="1"/>
    </xf>
    <xf numFmtId="1" fontId="32" fillId="0" borderId="88" xfId="0" applyNumberFormat="1" applyFont="1" applyBorder="1" applyAlignment="1">
      <alignment horizontal="center" vertical="center" wrapText="1"/>
    </xf>
    <xf numFmtId="9" fontId="29" fillId="0" borderId="88" xfId="17" applyFont="1" applyBorder="1" applyAlignment="1">
      <alignment horizontal="center" vertical="center" wrapText="1"/>
    </xf>
    <xf numFmtId="3" fontId="59" fillId="62" borderId="88" xfId="0" applyNumberFormat="1" applyFont="1" applyFill="1" applyBorder="1" applyAlignment="1">
      <alignment vertical="top" wrapText="1"/>
    </xf>
    <xf numFmtId="14" fontId="29" fillId="9" borderId="96" xfId="0" applyNumberFormat="1" applyFont="1" applyFill="1" applyBorder="1" applyAlignment="1">
      <alignment vertical="center" wrapText="1"/>
    </xf>
    <xf numFmtId="3" fontId="29" fillId="0" borderId="88" xfId="0" applyNumberFormat="1" applyFont="1" applyBorder="1" applyAlignment="1">
      <alignment horizontal="center" vertical="center" wrapText="1"/>
    </xf>
    <xf numFmtId="166" fontId="29" fillId="0" borderId="88" xfId="0" applyNumberFormat="1" applyFont="1" applyBorder="1" applyAlignment="1">
      <alignment horizontal="center" vertical="center" wrapText="1"/>
    </xf>
    <xf numFmtId="10" fontId="29" fillId="0" borderId="88" xfId="0" applyNumberFormat="1" applyFont="1" applyBorder="1" applyAlignment="1">
      <alignment horizontal="center" vertical="center"/>
    </xf>
    <xf numFmtId="171" fontId="29" fillId="0" borderId="88" xfId="0" applyNumberFormat="1" applyFont="1" applyBorder="1" applyAlignment="1">
      <alignment horizontal="right" vertical="center"/>
    </xf>
    <xf numFmtId="10" fontId="29" fillId="0" borderId="88" xfId="3" applyNumberFormat="1" applyFont="1" applyBorder="1" applyAlignment="1">
      <alignment horizontal="right" vertical="center" wrapText="1"/>
    </xf>
    <xf numFmtId="171" fontId="31" fillId="0" borderId="88" xfId="0" applyNumberFormat="1" applyFont="1" applyBorder="1" applyAlignment="1">
      <alignment horizontal="right" vertical="center"/>
    </xf>
    <xf numFmtId="44" fontId="29" fillId="0" borderId="88" xfId="11" applyFont="1" applyBorder="1" applyAlignment="1">
      <alignment horizontal="right" vertical="center" wrapText="1"/>
    </xf>
    <xf numFmtId="44" fontId="32" fillId="0" borderId="88" xfId="13" applyFont="1" applyBorder="1" applyAlignment="1">
      <alignment vertical="center" wrapText="1"/>
    </xf>
    <xf numFmtId="10" fontId="29" fillId="0" borderId="88" xfId="3" applyNumberFormat="1" applyFont="1" applyBorder="1" applyAlignment="1">
      <alignment horizontal="center" vertical="center" wrapText="1"/>
    </xf>
    <xf numFmtId="172" fontId="38" fillId="0" borderId="74" xfId="0" applyNumberFormat="1" applyFont="1" applyBorder="1" applyAlignment="1">
      <alignment vertical="center" wrapText="1"/>
    </xf>
    <xf numFmtId="10" fontId="29" fillId="0" borderId="88" xfId="0" applyNumberFormat="1" applyFont="1" applyBorder="1" applyAlignment="1">
      <alignment horizontal="center" vertical="center" wrapText="1"/>
    </xf>
    <xf numFmtId="4" fontId="31" fillId="0" borderId="88" xfId="0" applyNumberFormat="1" applyFont="1" applyBorder="1" applyAlignment="1">
      <alignment horizontal="right" vertical="center"/>
    </xf>
    <xf numFmtId="10" fontId="31" fillId="0" borderId="88" xfId="0" applyNumberFormat="1" applyFont="1" applyBorder="1" applyAlignment="1">
      <alignment horizontal="right" vertical="center"/>
    </xf>
    <xf numFmtId="10" fontId="31" fillId="0" borderId="88" xfId="3" applyNumberFormat="1" applyFont="1" applyBorder="1" applyAlignment="1">
      <alignment horizontal="right" vertical="center"/>
    </xf>
    <xf numFmtId="3" fontId="32" fillId="0" borderId="88" xfId="0" applyNumberFormat="1" applyFont="1" applyBorder="1" applyAlignment="1">
      <alignment vertical="center" wrapText="1"/>
    </xf>
    <xf numFmtId="0" fontId="98" fillId="9" borderId="97" xfId="0" applyFont="1" applyFill="1" applyBorder="1" applyAlignment="1">
      <alignment horizontal="left" vertical="center" wrapText="1"/>
    </xf>
    <xf numFmtId="0" fontId="98" fillId="9" borderId="98" xfId="0" applyFont="1" applyFill="1" applyBorder="1" applyAlignment="1">
      <alignment horizontal="center" vertical="center" wrapText="1"/>
    </xf>
    <xf numFmtId="0" fontId="98" fillId="9" borderId="88" xfId="0" applyFont="1" applyFill="1" applyBorder="1" applyAlignment="1">
      <alignment vertical="center" wrapText="1"/>
    </xf>
    <xf numFmtId="0" fontId="97" fillId="9" borderId="34" xfId="0" applyFont="1" applyFill="1" applyBorder="1" applyAlignment="1">
      <alignment horizontal="justify" vertical="center" wrapText="1"/>
    </xf>
    <xf numFmtId="0" fontId="97" fillId="9" borderId="16" xfId="0" applyFont="1" applyFill="1" applyBorder="1" applyAlignment="1">
      <alignment horizontal="justify" vertical="center" wrapText="1"/>
    </xf>
    <xf numFmtId="0" fontId="29" fillId="0" borderId="74" xfId="0" applyFont="1" applyBorder="1" applyAlignment="1">
      <alignment horizontal="center" vertical="center" wrapText="1"/>
    </xf>
    <xf numFmtId="0" fontId="31" fillId="9" borderId="34" xfId="14" applyFont="1" applyFill="1" applyBorder="1" applyAlignment="1">
      <alignment horizontal="center" vertical="center" wrapText="1"/>
    </xf>
    <xf numFmtId="0" fontId="31" fillId="9" borderId="16" xfId="14" applyFont="1" applyFill="1" applyBorder="1" applyAlignment="1">
      <alignment horizontal="center" vertical="center" wrapText="1"/>
    </xf>
    <xf numFmtId="0" fontId="31" fillId="9" borderId="18" xfId="14" applyFont="1" applyFill="1" applyBorder="1" applyAlignment="1">
      <alignment horizontal="center" vertical="center" wrapText="1"/>
    </xf>
    <xf numFmtId="0" fontId="29" fillId="0" borderId="74" xfId="0" applyFont="1" applyBorder="1" applyAlignment="1">
      <alignment horizontal="center" vertical="center"/>
    </xf>
    <xf numFmtId="1" fontId="29" fillId="0" borderId="74" xfId="0" applyNumberFormat="1" applyFont="1" applyBorder="1" applyAlignment="1">
      <alignment horizontal="center" vertical="center" wrapText="1"/>
    </xf>
    <xf numFmtId="1" fontId="32" fillId="0" borderId="74" xfId="0" applyNumberFormat="1" applyFont="1" applyBorder="1" applyAlignment="1">
      <alignment horizontal="center" vertical="center" wrapText="1"/>
    </xf>
    <xf numFmtId="9" fontId="29" fillId="0" borderId="74" xfId="17" applyFont="1" applyBorder="1" applyAlignment="1">
      <alignment horizontal="center" vertical="center" wrapText="1"/>
    </xf>
    <xf numFmtId="3" fontId="59" fillId="62" borderId="74" xfId="0" applyNumberFormat="1" applyFont="1" applyFill="1" applyBorder="1" applyAlignment="1">
      <alignment vertical="top" wrapText="1"/>
    </xf>
    <xf numFmtId="166" fontId="29" fillId="0" borderId="74" xfId="0" applyNumberFormat="1" applyFont="1" applyBorder="1" applyAlignment="1">
      <alignment horizontal="center" vertical="center" wrapText="1"/>
    </xf>
    <xf numFmtId="10" fontId="29" fillId="0" borderId="74" xfId="0" applyNumberFormat="1" applyFont="1" applyBorder="1" applyAlignment="1">
      <alignment horizontal="center" vertical="center"/>
    </xf>
    <xf numFmtId="167" fontId="29" fillId="0" borderId="74" xfId="0" applyNumberFormat="1" applyFont="1" applyBorder="1" applyAlignment="1">
      <alignment horizontal="right" vertical="center"/>
    </xf>
    <xf numFmtId="171" fontId="31" fillId="0" borderId="74" xfId="0" applyNumberFormat="1" applyFont="1" applyBorder="1" applyAlignment="1">
      <alignment horizontal="right" vertical="center"/>
    </xf>
    <xf numFmtId="44" fontId="29" fillId="0" borderId="74" xfId="11" applyFont="1" applyBorder="1" applyAlignment="1">
      <alignment horizontal="right" vertical="center" wrapText="1"/>
    </xf>
    <xf numFmtId="44" fontId="32" fillId="0" borderId="74" xfId="13" applyFont="1" applyBorder="1" applyAlignment="1">
      <alignment vertical="center" wrapText="1"/>
    </xf>
    <xf numFmtId="167" fontId="31" fillId="0" borderId="74" xfId="0" applyNumberFormat="1" applyFont="1" applyBorder="1" applyAlignment="1">
      <alignment horizontal="right" vertical="center"/>
    </xf>
    <xf numFmtId="10" fontId="29" fillId="0" borderId="74" xfId="0" applyNumberFormat="1" applyFont="1" applyBorder="1" applyAlignment="1">
      <alignment horizontal="center" vertical="center" wrapText="1"/>
    </xf>
    <xf numFmtId="4" fontId="31" fillId="0" borderId="74" xfId="0" applyNumberFormat="1" applyFont="1" applyBorder="1" applyAlignment="1">
      <alignment horizontal="right" vertical="center"/>
    </xf>
    <xf numFmtId="10" fontId="31" fillId="0" borderId="74" xfId="0" applyNumberFormat="1" applyFont="1" applyBorder="1" applyAlignment="1">
      <alignment horizontal="right" vertical="center"/>
    </xf>
    <xf numFmtId="10" fontId="31" fillId="0" borderId="74" xfId="3" applyNumberFormat="1" applyFont="1" applyBorder="1" applyAlignment="1">
      <alignment horizontal="right" vertical="center"/>
    </xf>
    <xf numFmtId="3" fontId="32" fillId="0" borderId="74" xfId="0" applyNumberFormat="1" applyFont="1" applyBorder="1" applyAlignment="1">
      <alignment vertical="center" wrapText="1"/>
    </xf>
    <xf numFmtId="0" fontId="98" fillId="9" borderId="99" xfId="0" applyFont="1" applyFill="1" applyBorder="1" applyAlignment="1">
      <alignment horizontal="left" vertical="center" wrapText="1"/>
    </xf>
    <xf numFmtId="0" fontId="98" fillId="9" borderId="82" xfId="0" applyFont="1" applyFill="1" applyBorder="1" applyAlignment="1">
      <alignment horizontal="center" vertical="center" wrapText="1"/>
    </xf>
    <xf numFmtId="0" fontId="98" fillId="9" borderId="74" xfId="0" applyFont="1" applyFill="1" applyBorder="1" applyAlignment="1">
      <alignment vertical="center" wrapText="1"/>
    </xf>
    <xf numFmtId="0" fontId="97" fillId="0" borderId="16" xfId="0" applyFont="1" applyBorder="1" applyAlignment="1">
      <alignment horizontal="justify" vertical="center" wrapText="1"/>
    </xf>
    <xf numFmtId="3" fontId="59" fillId="62" borderId="74" xfId="0" applyNumberFormat="1" applyFont="1" applyFill="1" applyBorder="1" applyAlignment="1">
      <alignment horizontal="center" vertical="center" wrapText="1"/>
    </xf>
    <xf numFmtId="0" fontId="98" fillId="9" borderId="99" xfId="0" applyFont="1" applyFill="1" applyBorder="1" applyAlignment="1">
      <alignment vertical="center" wrapText="1"/>
    </xf>
    <xf numFmtId="0" fontId="98" fillId="9" borderId="77" xfId="0" applyFont="1" applyFill="1" applyBorder="1" applyAlignment="1">
      <alignment horizontal="center" vertical="center" wrapText="1"/>
    </xf>
    <xf numFmtId="0" fontId="97" fillId="0" borderId="91" xfId="0" applyFont="1" applyBorder="1" applyAlignment="1">
      <alignment horizontal="center" vertical="center" wrapText="1"/>
    </xf>
    <xf numFmtId="3" fontId="59" fillId="63" borderId="74" xfId="0" applyNumberFormat="1" applyFont="1" applyFill="1" applyBorder="1" applyAlignment="1">
      <alignment vertical="top" wrapText="1"/>
    </xf>
    <xf numFmtId="3" fontId="59" fillId="62" borderId="74" xfId="0" applyNumberFormat="1" applyFont="1" applyFill="1" applyBorder="1" applyAlignment="1">
      <alignment horizontal="left" vertical="center" wrapText="1"/>
    </xf>
    <xf numFmtId="0" fontId="29" fillId="9" borderId="74" xfId="0" applyFont="1" applyFill="1" applyBorder="1" applyAlignment="1">
      <alignment horizontal="center" vertical="center"/>
    </xf>
    <xf numFmtId="3" fontId="32" fillId="0" borderId="74" xfId="0" applyNumberFormat="1" applyFont="1" applyBorder="1" applyAlignment="1">
      <alignment horizontal="right" vertical="center" wrapText="1"/>
    </xf>
    <xf numFmtId="0" fontId="97" fillId="9" borderId="34" xfId="14" applyFont="1" applyFill="1" applyBorder="1" applyAlignment="1">
      <alignment horizontal="center" vertical="center" wrapText="1"/>
    </xf>
    <xf numFmtId="0" fontId="97" fillId="9" borderId="16" xfId="14" applyFont="1" applyFill="1" applyBorder="1" applyAlignment="1">
      <alignment horizontal="center" vertical="center" wrapText="1"/>
    </xf>
    <xf numFmtId="0" fontId="97" fillId="9" borderId="18" xfId="14" applyFont="1" applyFill="1" applyBorder="1" applyAlignment="1">
      <alignment horizontal="center" vertical="center" wrapText="1"/>
    </xf>
    <xf numFmtId="4" fontId="32" fillId="0" borderId="74" xfId="0" applyNumberFormat="1" applyFont="1" applyBorder="1" applyAlignment="1">
      <alignment vertical="center" wrapText="1"/>
    </xf>
    <xf numFmtId="10" fontId="32" fillId="0" borderId="74" xfId="0" applyNumberFormat="1" applyFont="1" applyBorder="1" applyAlignment="1">
      <alignment vertical="center" wrapText="1"/>
    </xf>
    <xf numFmtId="10" fontId="32" fillId="0" borderId="74" xfId="3" applyNumberFormat="1" applyFont="1" applyBorder="1" applyAlignment="1">
      <alignment vertical="center" wrapText="1"/>
    </xf>
    <xf numFmtId="0" fontId="97" fillId="9" borderId="38" xfId="0" applyFont="1" applyFill="1" applyBorder="1" applyAlignment="1">
      <alignment horizontal="justify" vertical="center" wrapText="1"/>
    </xf>
    <xf numFmtId="0" fontId="97" fillId="0" borderId="36" xfId="0" applyFont="1" applyBorder="1" applyAlignment="1">
      <alignment horizontal="justify" vertical="center" wrapText="1"/>
    </xf>
    <xf numFmtId="0" fontId="97" fillId="0" borderId="36" xfId="0" applyFont="1" applyBorder="1" applyAlignment="1">
      <alignment horizontal="center" vertical="center" wrapText="1"/>
    </xf>
    <xf numFmtId="9" fontId="97" fillId="0" borderId="100" xfId="14" applyNumberFormat="1" applyFont="1" applyBorder="1" applyAlignment="1">
      <alignment horizontal="center" vertical="center" wrapText="1"/>
    </xf>
    <xf numFmtId="9" fontId="97" fillId="0" borderId="36" xfId="14" applyNumberFormat="1" applyFont="1" applyBorder="1" applyAlignment="1">
      <alignment horizontal="center" vertical="center" wrapText="1"/>
    </xf>
    <xf numFmtId="9" fontId="97" fillId="0" borderId="53" xfId="14" applyNumberFormat="1" applyFont="1" applyBorder="1" applyAlignment="1">
      <alignment horizontal="center" vertical="center" wrapText="1"/>
    </xf>
    <xf numFmtId="9" fontId="97" fillId="9" borderId="101" xfId="14" applyNumberFormat="1" applyFont="1" applyFill="1" applyBorder="1" applyAlignment="1">
      <alignment horizontal="center" vertical="center" wrapText="1"/>
    </xf>
    <xf numFmtId="1" fontId="32" fillId="0" borderId="93" xfId="0" applyNumberFormat="1" applyFont="1" applyBorder="1" applyAlignment="1">
      <alignment horizontal="center" vertical="center" wrapText="1"/>
    </xf>
    <xf numFmtId="9" fontId="29" fillId="0" borderId="93" xfId="17" applyFont="1" applyBorder="1" applyAlignment="1">
      <alignment horizontal="center" vertical="center" wrapText="1"/>
    </xf>
    <xf numFmtId="9" fontId="59" fillId="0" borderId="93" xfId="0" applyNumberFormat="1" applyFont="1" applyBorder="1" applyAlignment="1">
      <alignment horizontal="left" vertical="center" wrapText="1"/>
    </xf>
    <xf numFmtId="10" fontId="29" fillId="0" borderId="93" xfId="0" applyNumberFormat="1" applyFont="1" applyBorder="1" applyAlignment="1">
      <alignment horizontal="center" vertical="center"/>
    </xf>
    <xf numFmtId="10" fontId="32" fillId="0" borderId="93" xfId="0" applyNumberFormat="1" applyFont="1" applyBorder="1" applyAlignment="1">
      <alignment horizontal="center" vertical="center" wrapText="1"/>
    </xf>
    <xf numFmtId="167" fontId="29" fillId="0" borderId="93" xfId="0" applyNumberFormat="1" applyFont="1" applyBorder="1" applyAlignment="1">
      <alignment horizontal="right" vertical="center"/>
    </xf>
    <xf numFmtId="167" fontId="31" fillId="0" borderId="93" xfId="0" applyNumberFormat="1" applyFont="1" applyBorder="1" applyAlignment="1">
      <alignment horizontal="right" vertical="center"/>
    </xf>
    <xf numFmtId="44" fontId="31" fillId="0" borderId="93" xfId="11" applyFont="1" applyBorder="1" applyAlignment="1">
      <alignment horizontal="right" vertical="center"/>
    </xf>
    <xf numFmtId="3" fontId="32" fillId="0" borderId="93" xfId="0" applyNumberFormat="1" applyFont="1" applyBorder="1" applyAlignment="1">
      <alignment horizontal="right" vertical="center" wrapText="1"/>
    </xf>
    <xf numFmtId="4" fontId="31" fillId="0" borderId="93" xfId="0" applyNumberFormat="1" applyFont="1" applyBorder="1" applyAlignment="1">
      <alignment horizontal="right" vertical="center"/>
    </xf>
    <xf numFmtId="10" fontId="31" fillId="0" borderId="93" xfId="0" applyNumberFormat="1" applyFont="1" applyBorder="1" applyAlignment="1">
      <alignment horizontal="right" vertical="center"/>
    </xf>
    <xf numFmtId="10" fontId="31" fillId="0" borderId="93" xfId="3" applyNumberFormat="1" applyFont="1" applyBorder="1" applyAlignment="1">
      <alignment horizontal="right" vertical="center"/>
    </xf>
    <xf numFmtId="3" fontId="32" fillId="0" borderId="93" xfId="0" applyNumberFormat="1" applyFont="1" applyBorder="1" applyAlignment="1">
      <alignment vertical="center" wrapText="1"/>
    </xf>
    <xf numFmtId="0" fontId="98" fillId="9" borderId="102" xfId="0" applyFont="1" applyFill="1" applyBorder="1" applyAlignment="1">
      <alignment vertical="center" wrapText="1"/>
    </xf>
    <xf numFmtId="0" fontId="98" fillId="9" borderId="94" xfId="0" applyFont="1" applyFill="1" applyBorder="1" applyAlignment="1">
      <alignment horizontal="center" vertical="center" wrapText="1"/>
    </xf>
    <xf numFmtId="0" fontId="97" fillId="0" borderId="103" xfId="0" applyFont="1" applyBorder="1" applyAlignment="1">
      <alignment horizontal="center" vertical="center" wrapText="1"/>
    </xf>
    <xf numFmtId="0" fontId="32" fillId="61" borderId="81" xfId="0" applyFont="1" applyFill="1" applyBorder="1" applyAlignment="1">
      <alignment vertical="center" wrapText="1"/>
    </xf>
    <xf numFmtId="3" fontId="32" fillId="61" borderId="81" xfId="0" applyNumberFormat="1" applyFont="1" applyFill="1" applyBorder="1" applyAlignment="1">
      <alignment vertical="center" wrapText="1"/>
    </xf>
    <xf numFmtId="1" fontId="32" fillId="61" borderId="81" xfId="0" applyNumberFormat="1" applyFont="1" applyFill="1" applyBorder="1" applyAlignment="1">
      <alignment horizontal="center" vertical="center" wrapText="1"/>
    </xf>
    <xf numFmtId="10" fontId="32" fillId="61" borderId="81" xfId="17" applyNumberFormat="1" applyFont="1" applyFill="1" applyBorder="1" applyAlignment="1">
      <alignment horizontal="center" vertical="center" wrapText="1"/>
    </xf>
    <xf numFmtId="10" fontId="32" fillId="61" borderId="81" xfId="0" applyNumberFormat="1" applyFont="1" applyFill="1" applyBorder="1" applyAlignment="1">
      <alignment horizontal="center" vertical="center" wrapText="1"/>
    </xf>
    <xf numFmtId="9" fontId="32" fillId="61" borderId="81" xfId="0" applyNumberFormat="1" applyFont="1" applyFill="1" applyBorder="1" applyAlignment="1">
      <alignment horizontal="center" vertical="center" wrapText="1"/>
    </xf>
    <xf numFmtId="0" fontId="60" fillId="61" borderId="96" xfId="0" applyFont="1" applyFill="1" applyBorder="1" applyAlignment="1">
      <alignment vertical="center" wrapText="1"/>
    </xf>
    <xf numFmtId="0" fontId="32" fillId="61" borderId="96" xfId="0" applyFont="1" applyFill="1" applyBorder="1" applyAlignment="1">
      <alignment vertical="center" wrapText="1"/>
    </xf>
    <xf numFmtId="3" fontId="32" fillId="61" borderId="81" xfId="0" applyNumberFormat="1" applyFont="1" applyFill="1" applyBorder="1" applyAlignment="1">
      <alignment horizontal="center" vertical="center" wrapText="1"/>
    </xf>
    <xf numFmtId="10" fontId="32" fillId="61" borderId="104" xfId="3" applyNumberFormat="1" applyFont="1" applyFill="1" applyBorder="1" applyAlignment="1">
      <alignment horizontal="center" vertical="center" wrapText="1"/>
    </xf>
    <xf numFmtId="4" fontId="32" fillId="61" borderId="81" xfId="0" applyNumberFormat="1" applyFont="1" applyFill="1" applyBorder="1" applyAlignment="1">
      <alignment horizontal="center" vertical="center" wrapText="1"/>
    </xf>
    <xf numFmtId="10" fontId="32" fillId="61" borderId="81" xfId="3" applyNumberFormat="1" applyFont="1" applyFill="1" applyBorder="1" applyAlignment="1">
      <alignment horizontal="center" vertical="center" wrapText="1"/>
    </xf>
    <xf numFmtId="3" fontId="96" fillId="61" borderId="105" xfId="0" applyNumberFormat="1" applyFont="1" applyFill="1" applyBorder="1" applyAlignment="1">
      <alignment vertical="center" wrapText="1"/>
    </xf>
    <xf numFmtId="3" fontId="96" fillId="61" borderId="104" xfId="0" applyNumberFormat="1" applyFont="1" applyFill="1" applyBorder="1" applyAlignment="1">
      <alignment vertical="center" wrapText="1"/>
    </xf>
    <xf numFmtId="3" fontId="96" fillId="61" borderId="81" xfId="0" applyNumberFormat="1" applyFont="1" applyFill="1" applyBorder="1" applyAlignment="1">
      <alignment vertical="center" wrapText="1"/>
    </xf>
    <xf numFmtId="0" fontId="97" fillId="9" borderId="32" xfId="0" applyFont="1" applyFill="1" applyBorder="1" applyAlignment="1">
      <alignment horizontal="justify" vertical="center" wrapText="1"/>
    </xf>
    <xf numFmtId="0" fontId="97" fillId="9" borderId="31" xfId="14" applyFont="1" applyFill="1" applyBorder="1" applyAlignment="1">
      <alignment horizontal="center" vertical="center" wrapText="1"/>
    </xf>
    <xf numFmtId="0" fontId="97" fillId="9" borderId="32" xfId="14" applyFont="1" applyFill="1" applyBorder="1" applyAlignment="1">
      <alignment horizontal="center" vertical="center" wrapText="1"/>
    </xf>
    <xf numFmtId="0" fontId="97" fillId="9" borderId="59" xfId="14" applyFont="1" applyFill="1" applyBorder="1" applyAlignment="1">
      <alignment horizontal="center" vertical="center" wrapText="1"/>
    </xf>
    <xf numFmtId="3" fontId="59" fillId="62" borderId="83" xfId="0" applyNumberFormat="1" applyFont="1" applyFill="1" applyBorder="1" applyAlignment="1">
      <alignment horizontal="left" vertical="center" wrapText="1"/>
    </xf>
    <xf numFmtId="167" fontId="29" fillId="0" borderId="88" xfId="0" applyNumberFormat="1" applyFont="1" applyBorder="1" applyAlignment="1">
      <alignment horizontal="right" vertical="center"/>
    </xf>
    <xf numFmtId="3" fontId="32" fillId="0" borderId="88" xfId="0" applyNumberFormat="1" applyFont="1" applyBorder="1" applyAlignment="1">
      <alignment horizontal="right" vertical="center" wrapText="1"/>
    </xf>
    <xf numFmtId="44" fontId="31" fillId="0" borderId="88" xfId="11" applyFont="1" applyBorder="1" applyAlignment="1">
      <alignment horizontal="right" vertical="center"/>
    </xf>
    <xf numFmtId="10" fontId="29" fillId="0" borderId="74" xfId="3" applyNumberFormat="1" applyFont="1" applyBorder="1" applyAlignment="1">
      <alignment horizontal="center" vertical="center" wrapText="1"/>
    </xf>
    <xf numFmtId="4" fontId="32" fillId="0" borderId="88" xfId="0" applyNumberFormat="1" applyFont="1" applyBorder="1" applyAlignment="1">
      <alignment vertical="center" wrapText="1"/>
    </xf>
    <xf numFmtId="10" fontId="32" fillId="0" borderId="88" xfId="0" applyNumberFormat="1" applyFont="1" applyBorder="1" applyAlignment="1">
      <alignment vertical="center" wrapText="1"/>
    </xf>
    <xf numFmtId="10" fontId="32" fillId="0" borderId="88" xfId="3" applyNumberFormat="1" applyFont="1" applyBorder="1" applyAlignment="1">
      <alignment vertical="center" wrapText="1"/>
    </xf>
    <xf numFmtId="0" fontId="98" fillId="9" borderId="97" xfId="0" applyFont="1" applyFill="1" applyBorder="1" applyAlignment="1">
      <alignment vertical="center" wrapText="1"/>
    </xf>
    <xf numFmtId="0" fontId="98" fillId="9" borderId="106" xfId="0" applyFont="1" applyFill="1" applyBorder="1" applyAlignment="1">
      <alignment horizontal="center" vertical="center" wrapText="1"/>
    </xf>
    <xf numFmtId="0" fontId="97" fillId="0" borderId="89" xfId="0" applyFont="1" applyBorder="1" applyAlignment="1">
      <alignment horizontal="center" vertical="center" wrapText="1"/>
    </xf>
    <xf numFmtId="0" fontId="99" fillId="9" borderId="34" xfId="14" applyFont="1" applyFill="1" applyBorder="1" applyAlignment="1">
      <alignment horizontal="center" vertical="center"/>
    </xf>
    <xf numFmtId="0" fontId="99" fillId="9" borderId="16" xfId="14" applyFont="1" applyFill="1" applyBorder="1" applyAlignment="1">
      <alignment horizontal="center" vertical="center"/>
    </xf>
    <xf numFmtId="0" fontId="99" fillId="9" borderId="18" xfId="14" applyFont="1" applyFill="1" applyBorder="1" applyAlignment="1">
      <alignment horizontal="center" vertical="center"/>
    </xf>
    <xf numFmtId="9" fontId="29" fillId="64" borderId="74" xfId="17" applyFont="1" applyFill="1" applyBorder="1" applyAlignment="1">
      <alignment horizontal="center" vertical="center" wrapText="1"/>
    </xf>
    <xf numFmtId="3" fontId="97" fillId="0" borderId="91" xfId="0" applyNumberFormat="1" applyFont="1" applyBorder="1" applyAlignment="1">
      <alignment horizontal="center" vertical="center" wrapText="1"/>
    </xf>
    <xf numFmtId="0" fontId="29" fillId="0" borderId="93" xfId="0" applyFont="1" applyBorder="1" applyAlignment="1">
      <alignment horizontal="center" vertical="center" wrapText="1"/>
    </xf>
    <xf numFmtId="0" fontId="97" fillId="9" borderId="38" xfId="0" applyFont="1" applyFill="1" applyBorder="1" applyAlignment="1">
      <alignment horizontal="center" vertical="center"/>
    </xf>
    <xf numFmtId="0" fontId="97" fillId="9" borderId="36" xfId="0" applyFont="1" applyFill="1" applyBorder="1" applyAlignment="1">
      <alignment horizontal="center" vertical="center"/>
    </xf>
    <xf numFmtId="0" fontId="97" fillId="9" borderId="60" xfId="0" applyFont="1" applyFill="1" applyBorder="1" applyAlignment="1">
      <alignment horizontal="center" vertical="center"/>
    </xf>
    <xf numFmtId="9" fontId="29" fillId="64" borderId="93" xfId="17" applyFont="1" applyFill="1" applyBorder="1" applyAlignment="1">
      <alignment horizontal="center" vertical="center" wrapText="1"/>
    </xf>
    <xf numFmtId="166" fontId="29" fillId="0" borderId="93" xfId="0" applyNumberFormat="1" applyFont="1" applyBorder="1" applyAlignment="1">
      <alignment horizontal="center" vertical="center" wrapText="1"/>
    </xf>
    <xf numFmtId="3" fontId="59" fillId="62" borderId="93" xfId="0" applyNumberFormat="1" applyFont="1" applyFill="1" applyBorder="1" applyAlignment="1">
      <alignment horizontal="left" vertical="center" wrapText="1"/>
    </xf>
    <xf numFmtId="3" fontId="97" fillId="0" borderId="95" xfId="0" applyNumberFormat="1" applyFont="1" applyBorder="1" applyAlignment="1">
      <alignment horizontal="center" vertical="center" wrapText="1"/>
    </xf>
    <xf numFmtId="0" fontId="60" fillId="61" borderId="81" xfId="0" applyFont="1" applyFill="1" applyBorder="1" applyAlignment="1">
      <alignment vertical="center" wrapText="1"/>
    </xf>
    <xf numFmtId="0" fontId="99" fillId="9" borderId="31" xfId="14" applyFont="1" applyFill="1" applyBorder="1" applyAlignment="1">
      <alignment horizontal="center" vertical="center"/>
    </xf>
    <xf numFmtId="0" fontId="99" fillId="9" borderId="32" xfId="14" applyFont="1" applyFill="1" applyBorder="1" applyAlignment="1">
      <alignment horizontal="center" vertical="center"/>
    </xf>
    <xf numFmtId="0" fontId="99" fillId="9" borderId="59" xfId="14" applyFont="1" applyFill="1" applyBorder="1" applyAlignment="1">
      <alignment horizontal="center" vertical="center"/>
    </xf>
    <xf numFmtId="3" fontId="59" fillId="62" borderId="88" xfId="0" applyNumberFormat="1" applyFont="1" applyFill="1" applyBorder="1" applyAlignment="1">
      <alignment horizontal="left" vertical="top" wrapText="1"/>
    </xf>
    <xf numFmtId="171" fontId="29" fillId="9" borderId="88" xfId="0" applyNumberFormat="1" applyFont="1" applyFill="1" applyBorder="1" applyAlignment="1">
      <alignment horizontal="right" vertical="center"/>
    </xf>
    <xf numFmtId="2" fontId="29" fillId="0" borderId="74" xfId="0" applyNumberFormat="1" applyFont="1" applyBorder="1" applyAlignment="1">
      <alignment horizontal="center" vertical="center" wrapText="1"/>
    </xf>
    <xf numFmtId="9" fontId="29" fillId="62" borderId="74" xfId="0" applyNumberFormat="1" applyFont="1" applyFill="1" applyBorder="1" applyAlignment="1">
      <alignment horizontal="center" vertical="center" wrapText="1"/>
    </xf>
    <xf numFmtId="171" fontId="29" fillId="9" borderId="74" xfId="0" applyNumberFormat="1" applyFont="1" applyFill="1" applyBorder="1" applyAlignment="1">
      <alignment horizontal="right" vertical="center"/>
    </xf>
    <xf numFmtId="171" fontId="29" fillId="0" borderId="74" xfId="0" applyNumberFormat="1" applyFont="1" applyBorder="1" applyAlignment="1">
      <alignment horizontal="right" vertical="center"/>
    </xf>
    <xf numFmtId="0" fontId="97" fillId="9" borderId="107" xfId="0" applyFont="1" applyFill="1" applyBorder="1" applyAlignment="1">
      <alignment horizontal="justify" vertical="center" wrapText="1"/>
    </xf>
    <xf numFmtId="0" fontId="97" fillId="0" borderId="78" xfId="0" applyFont="1" applyBorder="1" applyAlignment="1">
      <alignment horizontal="justify" vertical="center" wrapText="1"/>
    </xf>
    <xf numFmtId="3" fontId="59" fillId="62" borderId="80" xfId="0" applyNumberFormat="1" applyFont="1" applyFill="1" applyBorder="1" applyAlignment="1">
      <alignment vertical="top" wrapText="1"/>
    </xf>
    <xf numFmtId="10" fontId="29" fillId="0" borderId="74" xfId="3" applyNumberFormat="1" applyFont="1" applyBorder="1" applyAlignment="1">
      <alignment horizontal="right" vertical="center" wrapText="1"/>
    </xf>
    <xf numFmtId="0" fontId="97" fillId="9" borderId="90" xfId="0" applyFont="1" applyFill="1" applyBorder="1" applyAlignment="1">
      <alignment horizontal="justify" vertical="center" wrapText="1"/>
    </xf>
    <xf numFmtId="0" fontId="97" fillId="0" borderId="75" xfId="0" applyFont="1" applyBorder="1" applyAlignment="1">
      <alignment horizontal="justify" vertical="center" wrapText="1"/>
    </xf>
    <xf numFmtId="0" fontId="59" fillId="9" borderId="16" xfId="0" applyFont="1" applyFill="1" applyBorder="1" applyAlignment="1">
      <alignment horizontal="left" vertical="top" wrapText="1"/>
    </xf>
    <xf numFmtId="0" fontId="97" fillId="9" borderId="92" xfId="0" applyFont="1" applyFill="1" applyBorder="1" applyAlignment="1">
      <alignment horizontal="justify" vertical="center" wrapText="1"/>
    </xf>
    <xf numFmtId="0" fontId="97" fillId="0" borderId="108" xfId="0" applyFont="1" applyBorder="1" applyAlignment="1">
      <alignment horizontal="justify" vertical="center" wrapText="1"/>
    </xf>
    <xf numFmtId="0" fontId="99" fillId="9" borderId="38" xfId="14" applyFont="1" applyFill="1" applyBorder="1" applyAlignment="1">
      <alignment horizontal="center" vertical="center"/>
    </xf>
    <xf numFmtId="0" fontId="99" fillId="9" borderId="36" xfId="14" applyFont="1" applyFill="1" applyBorder="1" applyAlignment="1">
      <alignment horizontal="center" vertical="center"/>
    </xf>
    <xf numFmtId="0" fontId="99" fillId="9" borderId="60" xfId="14" applyFont="1" applyFill="1" applyBorder="1" applyAlignment="1">
      <alignment horizontal="center" vertical="center"/>
    </xf>
    <xf numFmtId="1" fontId="29" fillId="0" borderId="93" xfId="0" applyNumberFormat="1" applyFont="1" applyBorder="1" applyAlignment="1">
      <alignment horizontal="center" vertical="center" wrapText="1"/>
    </xf>
    <xf numFmtId="0" fontId="59" fillId="9" borderId="36" xfId="0" applyFont="1" applyFill="1" applyBorder="1" applyAlignment="1">
      <alignment horizontal="left" vertical="top" wrapText="1"/>
    </xf>
    <xf numFmtId="171" fontId="29" fillId="9" borderId="93" xfId="0" applyNumberFormat="1" applyFont="1" applyFill="1" applyBorder="1" applyAlignment="1">
      <alignment horizontal="right" vertical="center"/>
    </xf>
    <xf numFmtId="171" fontId="29" fillId="0" borderId="93" xfId="0" applyNumberFormat="1" applyFont="1" applyBorder="1" applyAlignment="1">
      <alignment horizontal="right" vertical="center"/>
    </xf>
    <xf numFmtId="171" fontId="31" fillId="0" borderId="93" xfId="0" applyNumberFormat="1" applyFont="1" applyBorder="1" applyAlignment="1">
      <alignment horizontal="right" vertical="center"/>
    </xf>
    <xf numFmtId="44" fontId="29" fillId="0" borderId="93" xfId="11" applyFont="1" applyBorder="1" applyAlignment="1">
      <alignment horizontal="right" vertical="center" wrapText="1"/>
    </xf>
    <xf numFmtId="44" fontId="32" fillId="0" borderId="93" xfId="13" applyFont="1" applyBorder="1" applyAlignment="1">
      <alignment vertical="center" wrapText="1"/>
    </xf>
    <xf numFmtId="10" fontId="29" fillId="0" borderId="93" xfId="3" applyNumberFormat="1" applyFont="1" applyBorder="1" applyAlignment="1">
      <alignment horizontal="center" vertical="center" wrapText="1"/>
    </xf>
    <xf numFmtId="10" fontId="29" fillId="0" borderId="93" xfId="0" applyNumberFormat="1" applyFont="1" applyBorder="1" applyAlignment="1">
      <alignment horizontal="center" vertical="center" wrapText="1"/>
    </xf>
    <xf numFmtId="0" fontId="97" fillId="0" borderId="95" xfId="0" applyFont="1" applyBorder="1" applyAlignment="1">
      <alignment horizontal="center" vertical="center" wrapText="1"/>
    </xf>
    <xf numFmtId="0" fontId="32" fillId="60" borderId="83" xfId="0" applyFont="1" applyFill="1" applyBorder="1" applyAlignment="1">
      <alignment vertical="center" wrapText="1"/>
    </xf>
    <xf numFmtId="3" fontId="29" fillId="60" borderId="83" xfId="0" applyNumberFormat="1" applyFont="1" applyFill="1" applyBorder="1" applyAlignment="1">
      <alignment vertical="center" wrapText="1"/>
    </xf>
    <xf numFmtId="1" fontId="29" fillId="60" borderId="83" xfId="0" applyNumberFormat="1" applyFont="1" applyFill="1" applyBorder="1" applyAlignment="1">
      <alignment horizontal="center" vertical="center" wrapText="1"/>
    </xf>
    <xf numFmtId="1" fontId="32" fillId="60" borderId="83" xfId="0" applyNumberFormat="1" applyFont="1" applyFill="1" applyBorder="1" applyAlignment="1">
      <alignment horizontal="center" vertical="center" wrapText="1"/>
    </xf>
    <xf numFmtId="0" fontId="32" fillId="60" borderId="83" xfId="17" applyNumberFormat="1" applyFont="1" applyFill="1" applyBorder="1" applyAlignment="1">
      <alignment horizontal="center" vertical="center" wrapText="1"/>
    </xf>
    <xf numFmtId="10" fontId="32" fillId="60" borderId="83" xfId="3" applyNumberFormat="1" applyFont="1" applyFill="1" applyBorder="1" applyAlignment="1">
      <alignment horizontal="center" vertical="center" wrapText="1"/>
    </xf>
    <xf numFmtId="0" fontId="59" fillId="60" borderId="83" xfId="0" applyFont="1" applyFill="1" applyBorder="1" applyAlignment="1">
      <alignment vertical="center" wrapText="1"/>
    </xf>
    <xf numFmtId="0" fontId="29" fillId="60" borderId="83" xfId="0" applyFont="1" applyFill="1" applyBorder="1" applyAlignment="1">
      <alignment vertical="center" wrapText="1"/>
    </xf>
    <xf numFmtId="3" fontId="29" fillId="60" borderId="83" xfId="0" applyNumberFormat="1" applyFont="1" applyFill="1" applyBorder="1" applyAlignment="1">
      <alignment horizontal="center" vertical="center" wrapText="1"/>
    </xf>
    <xf numFmtId="10" fontId="32" fillId="60" borderId="83" xfId="17" applyNumberFormat="1" applyFont="1" applyFill="1" applyBorder="1" applyAlignment="1">
      <alignment horizontal="center" vertical="center" wrapText="1"/>
    </xf>
    <xf numFmtId="10" fontId="32" fillId="60" borderId="83" xfId="0" applyNumberFormat="1" applyFont="1" applyFill="1" applyBorder="1" applyAlignment="1">
      <alignment horizontal="center" vertical="center" wrapText="1"/>
    </xf>
    <xf numFmtId="4" fontId="32" fillId="60" borderId="83" xfId="0" applyNumberFormat="1" applyFont="1" applyFill="1" applyBorder="1" applyAlignment="1">
      <alignment vertical="center" wrapText="1"/>
    </xf>
    <xf numFmtId="3" fontId="32" fillId="60" borderId="83" xfId="0" applyNumberFormat="1" applyFont="1" applyFill="1" applyBorder="1" applyAlignment="1">
      <alignment vertical="center" wrapText="1"/>
    </xf>
    <xf numFmtId="10" fontId="29" fillId="60" borderId="83" xfId="0" applyNumberFormat="1" applyFont="1" applyFill="1" applyBorder="1" applyAlignment="1">
      <alignment horizontal="center" vertical="center" wrapText="1"/>
    </xf>
    <xf numFmtId="10" fontId="32" fillId="60" borderId="83" xfId="0" applyNumberFormat="1" applyFont="1" applyFill="1" applyBorder="1" applyAlignment="1">
      <alignment vertical="center" wrapText="1"/>
    </xf>
    <xf numFmtId="10" fontId="32" fillId="60" borderId="83" xfId="3" applyNumberFormat="1" applyFont="1" applyFill="1" applyBorder="1" applyAlignment="1">
      <alignment vertical="center" wrapText="1"/>
    </xf>
    <xf numFmtId="0" fontId="98" fillId="14" borderId="109" xfId="0" applyFont="1" applyFill="1" applyBorder="1" applyAlignment="1">
      <alignment vertical="center" wrapText="1"/>
    </xf>
    <xf numFmtId="3" fontId="96" fillId="60" borderId="82" xfId="0" applyNumberFormat="1" applyFont="1" applyFill="1" applyBorder="1" applyAlignment="1">
      <alignment vertical="center" wrapText="1"/>
    </xf>
    <xf numFmtId="3" fontId="96" fillId="60" borderId="83" xfId="0" applyNumberFormat="1" applyFont="1" applyFill="1" applyBorder="1" applyAlignment="1">
      <alignment vertical="center" wrapText="1"/>
    </xf>
    <xf numFmtId="0" fontId="32" fillId="61" borderId="80" xfId="0" applyFont="1" applyFill="1" applyBorder="1" applyAlignment="1">
      <alignment vertical="center" wrapText="1"/>
    </xf>
    <xf numFmtId="0" fontId="32" fillId="65" borderId="80" xfId="0" applyFont="1" applyFill="1" applyBorder="1" applyAlignment="1">
      <alignment vertical="center" wrapText="1"/>
    </xf>
    <xf numFmtId="3" fontId="32" fillId="65" borderId="80" xfId="0" applyNumberFormat="1" applyFont="1" applyFill="1" applyBorder="1" applyAlignment="1">
      <alignment vertical="center" wrapText="1"/>
    </xf>
    <xf numFmtId="1" fontId="32" fillId="65" borderId="80" xfId="0" applyNumberFormat="1" applyFont="1" applyFill="1" applyBorder="1" applyAlignment="1">
      <alignment horizontal="center" vertical="center" wrapText="1"/>
    </xf>
    <xf numFmtId="9" fontId="32" fillId="65" borderId="80" xfId="0" applyNumberFormat="1" applyFont="1" applyFill="1" applyBorder="1" applyAlignment="1">
      <alignment horizontal="center" vertical="center" wrapText="1"/>
    </xf>
    <xf numFmtId="10" fontId="32" fillId="65" borderId="80" xfId="17" applyNumberFormat="1" applyFont="1" applyFill="1" applyBorder="1" applyAlignment="1">
      <alignment horizontal="center" vertical="center" wrapText="1"/>
    </xf>
    <xf numFmtId="10" fontId="32" fillId="65" borderId="80" xfId="0" applyNumberFormat="1" applyFont="1" applyFill="1" applyBorder="1" applyAlignment="1">
      <alignment horizontal="center" vertical="center" wrapText="1"/>
    </xf>
    <xf numFmtId="3" fontId="60" fillId="65" borderId="80" xfId="0" applyNumberFormat="1" applyFont="1" applyFill="1" applyBorder="1" applyAlignment="1">
      <alignment horizontal="center" vertical="center" wrapText="1"/>
    </xf>
    <xf numFmtId="14" fontId="29" fillId="14" borderId="80" xfId="0" applyNumberFormat="1" applyFont="1" applyFill="1" applyBorder="1" applyAlignment="1">
      <alignment vertical="center" wrapText="1"/>
    </xf>
    <xf numFmtId="3" fontId="32" fillId="65" borderId="80" xfId="0" applyNumberFormat="1" applyFont="1" applyFill="1" applyBorder="1" applyAlignment="1">
      <alignment horizontal="center" vertical="center" wrapText="1"/>
    </xf>
    <xf numFmtId="10" fontId="32" fillId="65" borderId="80" xfId="3" applyNumberFormat="1" applyFont="1" applyFill="1" applyBorder="1" applyAlignment="1">
      <alignment horizontal="center" vertical="center" wrapText="1"/>
    </xf>
    <xf numFmtId="4" fontId="32" fillId="65" borderId="80" xfId="0" applyNumberFormat="1" applyFont="1" applyFill="1" applyBorder="1" applyAlignment="1">
      <alignment vertical="center" wrapText="1"/>
    </xf>
    <xf numFmtId="10" fontId="32" fillId="65" borderId="80" xfId="0" applyNumberFormat="1" applyFont="1" applyFill="1" applyBorder="1" applyAlignment="1">
      <alignment vertical="center" wrapText="1"/>
    </xf>
    <xf numFmtId="10" fontId="32" fillId="65" borderId="80" xfId="3" applyNumberFormat="1" applyFont="1" applyFill="1" applyBorder="1" applyAlignment="1">
      <alignment vertical="center" wrapText="1"/>
    </xf>
    <xf numFmtId="0" fontId="98" fillId="14" borderId="102" xfId="0" applyFont="1" applyFill="1" applyBorder="1" applyAlignment="1">
      <alignment vertical="center" wrapText="1"/>
    </xf>
    <xf numFmtId="3" fontId="96" fillId="65" borderId="86" xfId="0" applyNumberFormat="1" applyFont="1" applyFill="1" applyBorder="1" applyAlignment="1">
      <alignment vertical="center" wrapText="1"/>
    </xf>
    <xf numFmtId="3" fontId="96" fillId="65" borderId="80" xfId="0" applyNumberFormat="1" applyFont="1" applyFill="1" applyBorder="1" applyAlignment="1">
      <alignment vertical="center" wrapText="1"/>
    </xf>
    <xf numFmtId="0" fontId="97" fillId="9" borderId="110" xfId="0" applyFont="1" applyFill="1" applyBorder="1" applyAlignment="1">
      <alignment horizontal="justify" vertical="center" wrapText="1"/>
    </xf>
    <xf numFmtId="0" fontId="97" fillId="0" borderId="111" xfId="14" applyFont="1" applyBorder="1" applyAlignment="1">
      <alignment horizontal="justify" vertical="center" wrapText="1"/>
    </xf>
    <xf numFmtId="0" fontId="97" fillId="0" borderId="112" xfId="0" applyFont="1" applyBorder="1" applyAlignment="1">
      <alignment horizontal="center" vertical="center" wrapText="1"/>
    </xf>
    <xf numFmtId="9" fontId="97" fillId="0" borderId="110" xfId="0" applyNumberFormat="1" applyFont="1" applyBorder="1" applyAlignment="1">
      <alignment horizontal="center" vertical="center"/>
    </xf>
    <xf numFmtId="9" fontId="97" fillId="0" borderId="112" xfId="0" applyNumberFormat="1" applyFont="1" applyBorder="1" applyAlignment="1">
      <alignment horizontal="center" vertical="center"/>
    </xf>
    <xf numFmtId="9" fontId="97" fillId="0" borderId="111" xfId="0" applyNumberFormat="1" applyFont="1" applyBorder="1" applyAlignment="1">
      <alignment horizontal="center" vertical="center"/>
    </xf>
    <xf numFmtId="9" fontId="29" fillId="0" borderId="96" xfId="0" applyNumberFormat="1" applyFont="1" applyBorder="1" applyAlignment="1">
      <alignment horizontal="center" vertical="center"/>
    </xf>
    <xf numFmtId="9" fontId="29" fillId="0" borderId="96" xfId="3" applyFont="1" applyBorder="1" applyAlignment="1">
      <alignment horizontal="center" vertical="center" wrapText="1"/>
    </xf>
    <xf numFmtId="1" fontId="29" fillId="0" borderId="96" xfId="0" applyNumberFormat="1" applyFont="1" applyBorder="1" applyAlignment="1">
      <alignment horizontal="center" vertical="center" wrapText="1"/>
    </xf>
    <xf numFmtId="1" fontId="32" fillId="0" borderId="96" xfId="0" applyNumberFormat="1" applyFont="1" applyBorder="1" applyAlignment="1">
      <alignment horizontal="center" vertical="center" wrapText="1"/>
    </xf>
    <xf numFmtId="9" fontId="29" fillId="0" borderId="96" xfId="17" applyFont="1" applyBorder="1" applyAlignment="1">
      <alignment horizontal="center" vertical="center" wrapText="1"/>
    </xf>
    <xf numFmtId="166" fontId="29" fillId="0" borderId="96" xfId="0" applyNumberFormat="1" applyFont="1" applyBorder="1" applyAlignment="1">
      <alignment horizontal="center" vertical="center" wrapText="1"/>
    </xf>
    <xf numFmtId="0" fontId="59" fillId="9" borderId="112" xfId="0" applyFont="1" applyFill="1" applyBorder="1" applyAlignment="1">
      <alignment horizontal="left" vertical="top" wrapText="1"/>
    </xf>
    <xf numFmtId="10" fontId="29" fillId="0" borderId="96" xfId="0" applyNumberFormat="1" applyFont="1" applyBorder="1" applyAlignment="1">
      <alignment horizontal="center" vertical="center"/>
    </xf>
    <xf numFmtId="167" fontId="29" fillId="9" borderId="96" xfId="0" applyNumberFormat="1" applyFont="1" applyFill="1" applyBorder="1" applyAlignment="1">
      <alignment horizontal="right" vertical="center"/>
    </xf>
    <xf numFmtId="171" fontId="29" fillId="9" borderId="96" xfId="0" applyNumberFormat="1" applyFont="1" applyFill="1" applyBorder="1" applyAlignment="1">
      <alignment horizontal="right" vertical="center"/>
    </xf>
    <xf numFmtId="167" fontId="29" fillId="0" borderId="96" xfId="0" applyNumberFormat="1" applyFont="1" applyBorder="1" applyAlignment="1">
      <alignment horizontal="right" vertical="center"/>
    </xf>
    <xf numFmtId="10" fontId="29" fillId="0" borderId="96" xfId="3" applyNumberFormat="1" applyFont="1" applyBorder="1" applyAlignment="1">
      <alignment horizontal="right" vertical="center" wrapText="1"/>
    </xf>
    <xf numFmtId="3" fontId="32" fillId="0" borderId="96" xfId="0" applyNumberFormat="1" applyFont="1" applyBorder="1" applyAlignment="1">
      <alignment horizontal="right" vertical="center" wrapText="1"/>
    </xf>
    <xf numFmtId="44" fontId="29" fillId="0" borderId="96" xfId="11" applyFont="1" applyBorder="1" applyAlignment="1">
      <alignment horizontal="right" vertical="center" wrapText="1"/>
    </xf>
    <xf numFmtId="44" fontId="32" fillId="0" borderId="96" xfId="13" applyFont="1" applyBorder="1" applyAlignment="1">
      <alignment vertical="center" wrapText="1"/>
    </xf>
    <xf numFmtId="10" fontId="29" fillId="0" borderId="96" xfId="3" applyNumberFormat="1" applyFont="1" applyBorder="1" applyAlignment="1">
      <alignment horizontal="center" vertical="center" wrapText="1"/>
    </xf>
    <xf numFmtId="167" fontId="31" fillId="0" borderId="96" xfId="0" applyNumberFormat="1" applyFont="1" applyBorder="1" applyAlignment="1">
      <alignment horizontal="right" vertical="center"/>
    </xf>
    <xf numFmtId="10" fontId="29" fillId="0" borderId="96" xfId="0" applyNumberFormat="1" applyFont="1" applyBorder="1" applyAlignment="1">
      <alignment horizontal="center" vertical="center" wrapText="1"/>
    </xf>
    <xf numFmtId="4" fontId="31" fillId="0" borderId="96" xfId="0" applyNumberFormat="1" applyFont="1" applyBorder="1" applyAlignment="1">
      <alignment horizontal="right" vertical="center"/>
    </xf>
    <xf numFmtId="10" fontId="31" fillId="0" borderId="96" xfId="0" applyNumberFormat="1" applyFont="1" applyBorder="1" applyAlignment="1">
      <alignment horizontal="right" vertical="center"/>
    </xf>
    <xf numFmtId="10" fontId="31" fillId="0" borderId="96" xfId="3" applyNumberFormat="1" applyFont="1" applyBorder="1" applyAlignment="1">
      <alignment horizontal="right" vertical="center"/>
    </xf>
    <xf numFmtId="0" fontId="98" fillId="9" borderId="113" xfId="0" applyFont="1" applyFill="1" applyBorder="1" applyAlignment="1">
      <alignment horizontal="center" vertical="center" wrapText="1"/>
    </xf>
    <xf numFmtId="0" fontId="97" fillId="0" borderId="114" xfId="0" applyFont="1" applyBorder="1" applyAlignment="1">
      <alignment horizontal="center" vertical="center" wrapText="1"/>
    </xf>
    <xf numFmtId="0" fontId="32" fillId="65" borderId="81" xfId="0" applyFont="1" applyFill="1" applyBorder="1" applyAlignment="1">
      <alignment vertical="center" wrapText="1"/>
    </xf>
    <xf numFmtId="3" fontId="32" fillId="65" borderId="81" xfId="0" applyNumberFormat="1" applyFont="1" applyFill="1" applyBorder="1" applyAlignment="1">
      <alignment vertical="center" wrapText="1"/>
    </xf>
    <xf numFmtId="1" fontId="32" fillId="65" borderId="81" xfId="0" applyNumberFormat="1" applyFont="1" applyFill="1" applyBorder="1" applyAlignment="1">
      <alignment horizontal="center" vertical="center" wrapText="1"/>
    </xf>
    <xf numFmtId="9" fontId="32" fillId="65" borderId="81" xfId="0" applyNumberFormat="1" applyFont="1" applyFill="1" applyBorder="1" applyAlignment="1">
      <alignment horizontal="center" vertical="center" wrapText="1"/>
    </xf>
    <xf numFmtId="10" fontId="32" fillId="65" borderId="81" xfId="17" applyNumberFormat="1" applyFont="1" applyFill="1" applyBorder="1" applyAlignment="1">
      <alignment horizontal="center" vertical="center" wrapText="1"/>
    </xf>
    <xf numFmtId="10" fontId="32" fillId="65" borderId="81" xfId="0" applyNumberFormat="1" applyFont="1" applyFill="1" applyBorder="1" applyAlignment="1">
      <alignment horizontal="center" vertical="center" wrapText="1"/>
    </xf>
    <xf numFmtId="3" fontId="60" fillId="65" borderId="81" xfId="0" applyNumberFormat="1" applyFont="1" applyFill="1" applyBorder="1" applyAlignment="1">
      <alignment horizontal="center" vertical="center" wrapText="1"/>
    </xf>
    <xf numFmtId="14" fontId="29" fillId="14" borderId="81" xfId="0" applyNumberFormat="1" applyFont="1" applyFill="1" applyBorder="1" applyAlignment="1">
      <alignment vertical="center" wrapText="1"/>
    </xf>
    <xf numFmtId="3" fontId="32" fillId="65" borderId="81" xfId="0" applyNumberFormat="1" applyFont="1" applyFill="1" applyBorder="1" applyAlignment="1">
      <alignment horizontal="center" vertical="center" wrapText="1"/>
    </xf>
    <xf numFmtId="10" fontId="32" fillId="65" borderId="81" xfId="3" applyNumberFormat="1" applyFont="1" applyFill="1" applyBorder="1" applyAlignment="1">
      <alignment horizontal="center" vertical="center" wrapText="1"/>
    </xf>
    <xf numFmtId="4" fontId="32" fillId="65" borderId="81" xfId="0" applyNumberFormat="1" applyFont="1" applyFill="1" applyBorder="1" applyAlignment="1">
      <alignment vertical="center" wrapText="1"/>
    </xf>
    <xf numFmtId="10" fontId="32" fillId="65" borderId="81" xfId="0" applyNumberFormat="1" applyFont="1" applyFill="1" applyBorder="1" applyAlignment="1">
      <alignment vertical="center" wrapText="1"/>
    </xf>
    <xf numFmtId="10" fontId="32" fillId="65" borderId="81" xfId="3" applyNumberFormat="1" applyFont="1" applyFill="1" applyBorder="1" applyAlignment="1">
      <alignment vertical="center" wrapText="1"/>
    </xf>
    <xf numFmtId="3" fontId="96" fillId="65" borderId="105" xfId="0" applyNumberFormat="1" applyFont="1" applyFill="1" applyBorder="1" applyAlignment="1">
      <alignment vertical="center" wrapText="1"/>
    </xf>
    <xf numFmtId="3" fontId="96" fillId="65" borderId="104" xfId="0" applyNumberFormat="1" applyFont="1" applyFill="1" applyBorder="1" applyAlignment="1">
      <alignment vertical="center" wrapText="1"/>
    </xf>
    <xf numFmtId="3" fontId="96" fillId="65" borderId="81" xfId="0" applyNumberFormat="1" applyFont="1" applyFill="1" applyBorder="1" applyAlignment="1">
      <alignment vertical="center" wrapText="1"/>
    </xf>
    <xf numFmtId="0" fontId="97" fillId="0" borderId="59" xfId="14" applyFont="1" applyBorder="1" applyAlignment="1">
      <alignment horizontal="justify" vertical="center" wrapText="1"/>
    </xf>
    <xf numFmtId="0" fontId="97" fillId="0" borderId="33" xfId="0" applyFont="1" applyBorder="1" applyAlignment="1">
      <alignment horizontal="center" vertical="center" wrapText="1"/>
    </xf>
    <xf numFmtId="9" fontId="97" fillId="0" borderId="31" xfId="0" applyNumberFormat="1" applyFont="1" applyBorder="1" applyAlignment="1">
      <alignment horizontal="center" vertical="center"/>
    </xf>
    <xf numFmtId="9" fontId="97" fillId="0" borderId="32" xfId="0" applyNumberFormat="1" applyFont="1" applyBorder="1" applyAlignment="1">
      <alignment horizontal="center" vertical="center"/>
    </xf>
    <xf numFmtId="9" fontId="97" fillId="0" borderId="59" xfId="0" applyNumberFormat="1" applyFont="1" applyBorder="1" applyAlignment="1">
      <alignment horizontal="center" vertical="center"/>
    </xf>
    <xf numFmtId="9" fontId="29" fillId="0" borderId="88" xfId="3" applyFont="1" applyBorder="1" applyAlignment="1">
      <alignment horizontal="center" vertical="center"/>
    </xf>
    <xf numFmtId="9" fontId="29" fillId="0" borderId="88" xfId="0" applyNumberFormat="1" applyFont="1" applyBorder="1" applyAlignment="1">
      <alignment horizontal="center" vertical="center" wrapText="1"/>
    </xf>
    <xf numFmtId="9" fontId="29" fillId="0" borderId="88" xfId="3" applyFont="1" applyBorder="1" applyAlignment="1">
      <alignment horizontal="center" vertical="center" wrapText="1"/>
    </xf>
    <xf numFmtId="9" fontId="32" fillId="0" borderId="88" xfId="0" applyNumberFormat="1" applyFont="1" applyBorder="1" applyAlignment="1">
      <alignment horizontal="center" vertical="center" wrapText="1"/>
    </xf>
    <xf numFmtId="9" fontId="29" fillId="0" borderId="88" xfId="17" applyFont="1" applyFill="1" applyBorder="1" applyAlignment="1">
      <alignment horizontal="center" vertical="center" wrapText="1"/>
    </xf>
    <xf numFmtId="167" fontId="31" fillId="0" borderId="88" xfId="0" applyNumberFormat="1" applyFont="1" applyBorder="1" applyAlignment="1">
      <alignment horizontal="right" vertical="center"/>
    </xf>
    <xf numFmtId="0" fontId="97" fillId="0" borderId="60" xfId="14" applyFont="1" applyBorder="1" applyAlignment="1">
      <alignment horizontal="justify" vertical="center" wrapText="1"/>
    </xf>
    <xf numFmtId="0" fontId="29" fillId="0" borderId="115" xfId="0" applyFont="1" applyBorder="1" applyAlignment="1">
      <alignment horizontal="center" vertical="center" wrapText="1"/>
    </xf>
    <xf numFmtId="0" fontId="97" fillId="0" borderId="38" xfId="0" applyFont="1" applyBorder="1" applyAlignment="1">
      <alignment horizontal="center" vertical="center"/>
    </xf>
    <xf numFmtId="0" fontId="97" fillId="0" borderId="36" xfId="0" applyFont="1" applyBorder="1" applyAlignment="1">
      <alignment horizontal="center" vertical="center"/>
    </xf>
    <xf numFmtId="0" fontId="97" fillId="0" borderId="60" xfId="0" applyFont="1" applyBorder="1" applyAlignment="1">
      <alignment horizontal="center" vertical="center"/>
    </xf>
    <xf numFmtId="9" fontId="29" fillId="0" borderId="93" xfId="0" applyNumberFormat="1" applyFont="1" applyBorder="1" applyAlignment="1">
      <alignment horizontal="center" vertical="center"/>
    </xf>
    <xf numFmtId="1" fontId="29" fillId="0" borderId="83" xfId="0" applyNumberFormat="1" applyFont="1" applyBorder="1" applyAlignment="1">
      <alignment horizontal="center" vertical="center" wrapText="1"/>
    </xf>
    <xf numFmtId="9" fontId="29" fillId="0" borderId="93" xfId="0" applyNumberFormat="1" applyFont="1" applyBorder="1" applyAlignment="1">
      <alignment horizontal="center" vertical="center" wrapText="1"/>
    </xf>
    <xf numFmtId="9" fontId="32" fillId="0" borderId="93" xfId="3" applyFont="1" applyFill="1" applyBorder="1" applyAlignment="1">
      <alignment horizontal="center" vertical="center" wrapText="1"/>
    </xf>
    <xf numFmtId="9" fontId="59" fillId="0" borderId="93" xfId="0" applyNumberFormat="1" applyFont="1" applyBorder="1" applyAlignment="1">
      <alignment vertical="top" wrapText="1"/>
    </xf>
    <xf numFmtId="14" fontId="29" fillId="9" borderId="93" xfId="0" applyNumberFormat="1" applyFont="1" applyFill="1" applyBorder="1" applyAlignment="1">
      <alignment vertical="center" wrapText="1"/>
    </xf>
    <xf numFmtId="10" fontId="29" fillId="0" borderId="93" xfId="3" applyNumberFormat="1" applyFont="1" applyBorder="1" applyAlignment="1">
      <alignment horizontal="right" vertical="center" wrapText="1"/>
    </xf>
    <xf numFmtId="0" fontId="98" fillId="9" borderId="116" xfId="0" applyFont="1" applyFill="1" applyBorder="1" applyAlignment="1">
      <alignment horizontal="left" vertical="center" wrapText="1"/>
    </xf>
    <xf numFmtId="0" fontId="97" fillId="9" borderId="117" xfId="0" applyFont="1" applyFill="1" applyBorder="1" applyAlignment="1">
      <alignment horizontal="justify" vertical="center" wrapText="1"/>
    </xf>
    <xf numFmtId="0" fontId="97" fillId="0" borderId="24" xfId="14" applyFont="1" applyBorder="1" applyAlignment="1">
      <alignment horizontal="justify" vertical="center" wrapText="1"/>
    </xf>
    <xf numFmtId="0" fontId="29" fillId="0" borderId="83" xfId="0" applyFont="1" applyBorder="1" applyAlignment="1">
      <alignment horizontal="center" vertical="center" wrapText="1"/>
    </xf>
    <xf numFmtId="0" fontId="97" fillId="0" borderId="117" xfId="0" applyFont="1" applyBorder="1" applyAlignment="1">
      <alignment horizontal="center" vertical="center"/>
    </xf>
    <xf numFmtId="0" fontId="97" fillId="0" borderId="30" xfId="0" applyFont="1" applyBorder="1" applyAlignment="1">
      <alignment horizontal="center" vertical="center"/>
    </xf>
    <xf numFmtId="0" fontId="97" fillId="0" borderId="24" xfId="0" applyFont="1" applyBorder="1" applyAlignment="1">
      <alignment horizontal="center" vertical="center"/>
    </xf>
    <xf numFmtId="2" fontId="29" fillId="0" borderId="83" xfId="0" applyNumberFormat="1" applyFont="1" applyBorder="1" applyAlignment="1">
      <alignment horizontal="center" vertical="center"/>
    </xf>
    <xf numFmtId="164" fontId="29" fillId="0" borderId="83" xfId="0" applyNumberFormat="1" applyFont="1" applyBorder="1" applyAlignment="1">
      <alignment horizontal="center" vertical="center" wrapText="1"/>
    </xf>
    <xf numFmtId="164" fontId="32" fillId="0" borderId="83" xfId="0" applyNumberFormat="1" applyFont="1" applyBorder="1" applyAlignment="1">
      <alignment horizontal="center" vertical="center" wrapText="1"/>
    </xf>
    <xf numFmtId="9" fontId="29" fillId="0" borderId="83" xfId="17" applyFont="1" applyBorder="1" applyAlignment="1">
      <alignment horizontal="center" vertical="center" wrapText="1"/>
    </xf>
    <xf numFmtId="0" fontId="59" fillId="62" borderId="83" xfId="0" applyFont="1" applyFill="1" applyBorder="1" applyAlignment="1">
      <alignment horizontal="left" vertical="top" wrapText="1"/>
    </xf>
    <xf numFmtId="166" fontId="29" fillId="0" borderId="83" xfId="0" applyNumberFormat="1" applyFont="1" applyBorder="1" applyAlignment="1">
      <alignment horizontal="center" vertical="center" wrapText="1"/>
    </xf>
    <xf numFmtId="10" fontId="29" fillId="0" borderId="83" xfId="0" applyNumberFormat="1" applyFont="1" applyBorder="1" applyAlignment="1">
      <alignment horizontal="center" vertical="center"/>
    </xf>
    <xf numFmtId="167" fontId="29" fillId="0" borderId="83" xfId="0" applyNumberFormat="1" applyFont="1" applyBorder="1" applyAlignment="1">
      <alignment horizontal="right" vertical="center"/>
    </xf>
    <xf numFmtId="10" fontId="29" fillId="0" borderId="83" xfId="3" applyNumberFormat="1" applyFont="1" applyBorder="1" applyAlignment="1">
      <alignment horizontal="right" vertical="center" wrapText="1"/>
    </xf>
    <xf numFmtId="167" fontId="31" fillId="0" borderId="83" xfId="0" applyNumberFormat="1" applyFont="1" applyBorder="1" applyAlignment="1">
      <alignment horizontal="right" vertical="center"/>
    </xf>
    <xf numFmtId="44" fontId="29" fillId="0" borderId="83" xfId="11" applyFont="1" applyBorder="1" applyAlignment="1">
      <alignment horizontal="right" vertical="center" wrapText="1"/>
    </xf>
    <xf numFmtId="44" fontId="32" fillId="0" borderId="83" xfId="13" applyFont="1" applyBorder="1" applyAlignment="1">
      <alignment vertical="center" wrapText="1"/>
    </xf>
    <xf numFmtId="10" fontId="29" fillId="0" borderId="83" xfId="3" applyNumberFormat="1" applyFont="1" applyBorder="1" applyAlignment="1">
      <alignment horizontal="center" vertical="center" wrapText="1"/>
    </xf>
    <xf numFmtId="10" fontId="29" fillId="0" borderId="83" xfId="0" applyNumberFormat="1" applyFont="1" applyBorder="1" applyAlignment="1">
      <alignment horizontal="center" vertical="center" wrapText="1"/>
    </xf>
    <xf numFmtId="4" fontId="31" fillId="0" borderId="83" xfId="0" applyNumberFormat="1" applyFont="1" applyBorder="1" applyAlignment="1">
      <alignment horizontal="right" vertical="center"/>
    </xf>
    <xf numFmtId="10" fontId="31" fillId="0" borderId="83" xfId="0" applyNumberFormat="1" applyFont="1" applyBorder="1" applyAlignment="1">
      <alignment horizontal="right" vertical="center"/>
    </xf>
    <xf numFmtId="10" fontId="31" fillId="0" borderId="83" xfId="3" applyNumberFormat="1" applyFont="1" applyBorder="1" applyAlignment="1">
      <alignment horizontal="right" vertical="center"/>
    </xf>
    <xf numFmtId="3" fontId="32" fillId="0" borderId="83" xfId="0" applyNumberFormat="1" applyFont="1" applyBorder="1" applyAlignment="1">
      <alignment vertical="center" wrapText="1"/>
    </xf>
    <xf numFmtId="0" fontId="98" fillId="9" borderId="34" xfId="0" applyFont="1" applyFill="1" applyBorder="1" applyAlignment="1">
      <alignment vertical="center" wrapText="1"/>
    </xf>
    <xf numFmtId="0" fontId="97" fillId="0" borderId="18" xfId="0" applyFont="1" applyBorder="1" applyAlignment="1">
      <alignment horizontal="justify" vertical="center" wrapText="1"/>
    </xf>
    <xf numFmtId="0" fontId="97" fillId="0" borderId="34" xfId="0" applyFont="1" applyBorder="1" applyAlignment="1">
      <alignment horizontal="center" vertical="center"/>
    </xf>
    <xf numFmtId="0" fontId="97" fillId="0" borderId="16" xfId="0" applyFont="1" applyBorder="1" applyAlignment="1">
      <alignment horizontal="center" vertical="center"/>
    </xf>
    <xf numFmtId="0" fontId="97" fillId="0" borderId="18" xfId="0" applyFont="1" applyBorder="1" applyAlignment="1">
      <alignment horizontal="center" vertical="center"/>
    </xf>
    <xf numFmtId="9" fontId="29" fillId="0" borderId="74" xfId="0" applyNumberFormat="1" applyFont="1" applyBorder="1" applyAlignment="1">
      <alignment horizontal="center" vertical="center"/>
    </xf>
    <xf numFmtId="9" fontId="29" fillId="0" borderId="74" xfId="0" applyNumberFormat="1" applyFont="1" applyBorder="1" applyAlignment="1">
      <alignment horizontal="center" vertical="center" wrapText="1"/>
    </xf>
    <xf numFmtId="9" fontId="32" fillId="0" borderId="74" xfId="3" applyFont="1" applyFill="1" applyBorder="1" applyAlignment="1">
      <alignment horizontal="center" vertical="center" wrapText="1"/>
    </xf>
    <xf numFmtId="14" fontId="29" fillId="0" borderId="74" xfId="0" applyNumberFormat="1" applyFont="1" applyBorder="1" applyAlignment="1">
      <alignment vertical="center" wrapText="1"/>
    </xf>
    <xf numFmtId="0" fontId="98" fillId="9" borderId="109" xfId="0" applyFont="1" applyFill="1" applyBorder="1" applyAlignment="1">
      <alignment horizontal="left" vertical="center" wrapText="1"/>
    </xf>
    <xf numFmtId="0" fontId="97" fillId="0" borderId="60" xfId="0" applyFont="1" applyBorder="1" applyAlignment="1">
      <alignment horizontal="justify" vertical="center" wrapText="1"/>
    </xf>
    <xf numFmtId="2" fontId="29" fillId="0" borderId="93" xfId="0" applyNumberFormat="1" applyFont="1" applyBorder="1" applyAlignment="1">
      <alignment horizontal="center" vertical="center"/>
    </xf>
    <xf numFmtId="0" fontId="59" fillId="62" borderId="93" xfId="0" applyFont="1" applyFill="1" applyBorder="1" applyAlignment="1">
      <alignment horizontal="left" vertical="top" wrapText="1"/>
    </xf>
    <xf numFmtId="0" fontId="98" fillId="9" borderId="102" xfId="0" applyFont="1" applyFill="1" applyBorder="1" applyAlignment="1">
      <alignment horizontal="left" vertical="center" wrapText="1"/>
    </xf>
    <xf numFmtId="0" fontId="98" fillId="9" borderId="93" xfId="0" applyFont="1" applyFill="1" applyBorder="1" applyAlignment="1">
      <alignment vertical="center" wrapText="1"/>
    </xf>
    <xf numFmtId="9" fontId="32" fillId="61" borderId="81" xfId="17" applyFont="1" applyFill="1" applyBorder="1" applyAlignment="1">
      <alignment horizontal="center" vertical="center" wrapText="1"/>
    </xf>
    <xf numFmtId="0" fontId="100" fillId="61" borderId="81" xfId="0" applyFont="1" applyFill="1" applyBorder="1" applyAlignment="1">
      <alignment horizontal="center" vertical="center" wrapText="1"/>
    </xf>
    <xf numFmtId="4" fontId="32" fillId="61" borderId="81" xfId="0" applyNumberFormat="1" applyFont="1" applyFill="1" applyBorder="1" applyAlignment="1">
      <alignment vertical="center" wrapText="1"/>
    </xf>
    <xf numFmtId="10" fontId="32" fillId="61" borderId="81" xfId="0" applyNumberFormat="1" applyFont="1" applyFill="1" applyBorder="1" applyAlignment="1">
      <alignment vertical="center" wrapText="1"/>
    </xf>
    <xf numFmtId="10" fontId="32" fillId="61" borderId="81" xfId="3" applyNumberFormat="1" applyFont="1" applyFill="1" applyBorder="1" applyAlignment="1">
      <alignment vertical="center" wrapText="1"/>
    </xf>
    <xf numFmtId="3" fontId="32" fillId="61" borderId="118" xfId="0" applyNumberFormat="1" applyFont="1" applyFill="1" applyBorder="1" applyAlignment="1">
      <alignment vertical="center" wrapText="1"/>
    </xf>
    <xf numFmtId="0" fontId="98" fillId="14" borderId="112" xfId="0" applyFont="1" applyFill="1" applyBorder="1" applyAlignment="1">
      <alignment vertical="center" wrapText="1"/>
    </xf>
    <xf numFmtId="0" fontId="29" fillId="62" borderId="88" xfId="0" applyFont="1" applyFill="1" applyBorder="1" applyAlignment="1">
      <alignment horizontal="center" vertical="center" wrapText="1"/>
    </xf>
    <xf numFmtId="9" fontId="29" fillId="62" borderId="88" xfId="0" applyNumberFormat="1" applyFont="1" applyFill="1" applyBorder="1" applyAlignment="1">
      <alignment horizontal="center" vertical="center"/>
    </xf>
    <xf numFmtId="167" fontId="29" fillId="9" borderId="88" xfId="0" applyNumberFormat="1" applyFont="1" applyFill="1" applyBorder="1" applyAlignment="1">
      <alignment horizontal="right" vertical="center"/>
    </xf>
    <xf numFmtId="44" fontId="29" fillId="0" borderId="88" xfId="13" applyFont="1" applyBorder="1" applyAlignment="1">
      <alignment vertical="center" wrapText="1"/>
    </xf>
    <xf numFmtId="0" fontId="98" fillId="9" borderId="119" xfId="0" applyFont="1" applyFill="1" applyBorder="1" applyAlignment="1">
      <alignment horizontal="center" vertical="center" wrapText="1"/>
    </xf>
    <xf numFmtId="0" fontId="97" fillId="0" borderId="120" xfId="0" applyFont="1" applyBorder="1" applyAlignment="1">
      <alignment horizontal="center" vertical="center" wrapText="1"/>
    </xf>
    <xf numFmtId="0" fontId="97" fillId="9" borderId="60" xfId="0" applyFont="1" applyFill="1" applyBorder="1" applyAlignment="1">
      <alignment horizontal="justify" vertical="center" wrapText="1"/>
    </xf>
    <xf numFmtId="3" fontId="59" fillId="9" borderId="93" xfId="0" applyNumberFormat="1" applyFont="1" applyFill="1" applyBorder="1" applyAlignment="1">
      <alignment vertical="top" wrapText="1"/>
    </xf>
    <xf numFmtId="167" fontId="29" fillId="9" borderId="93" xfId="0" applyNumberFormat="1" applyFont="1" applyFill="1" applyBorder="1" applyAlignment="1">
      <alignment horizontal="right" vertical="center"/>
    </xf>
    <xf numFmtId="0" fontId="98" fillId="9" borderId="121" xfId="0" applyFont="1" applyFill="1" applyBorder="1" applyAlignment="1">
      <alignment horizontal="center" vertical="center" wrapText="1"/>
    </xf>
    <xf numFmtId="0" fontId="97" fillId="0" borderId="122" xfId="0" applyFont="1" applyBorder="1" applyAlignment="1">
      <alignment horizontal="center"/>
    </xf>
    <xf numFmtId="0" fontId="95" fillId="66" borderId="83" xfId="0" applyFont="1" applyFill="1" applyBorder="1" applyAlignment="1">
      <alignment vertical="center" wrapText="1"/>
    </xf>
    <xf numFmtId="0" fontId="32" fillId="66" borderId="83" xfId="0" applyFont="1" applyFill="1" applyBorder="1" applyAlignment="1">
      <alignment vertical="center" wrapText="1"/>
    </xf>
    <xf numFmtId="3" fontId="32" fillId="66" borderId="83" xfId="0" applyNumberFormat="1" applyFont="1" applyFill="1" applyBorder="1" applyAlignment="1">
      <alignment vertical="center" wrapText="1"/>
    </xf>
    <xf numFmtId="1" fontId="32" fillId="66" borderId="83" xfId="0" applyNumberFormat="1" applyFont="1" applyFill="1" applyBorder="1" applyAlignment="1">
      <alignment horizontal="center" vertical="center" wrapText="1"/>
    </xf>
    <xf numFmtId="10" fontId="32" fillId="66" borderId="83" xfId="3" applyNumberFormat="1" applyFont="1" applyFill="1" applyBorder="1" applyAlignment="1">
      <alignment horizontal="center" vertical="center" wrapText="1"/>
    </xf>
    <xf numFmtId="0" fontId="60" fillId="66" borderId="83" xfId="0" applyFont="1" applyFill="1" applyBorder="1" applyAlignment="1">
      <alignment horizontal="center" vertical="center" wrapText="1"/>
    </xf>
    <xf numFmtId="0" fontId="32" fillId="66" borderId="83" xfId="0" applyFont="1" applyFill="1" applyBorder="1" applyAlignment="1">
      <alignment horizontal="center" vertical="center" wrapText="1"/>
    </xf>
    <xf numFmtId="3" fontId="32" fillId="66" borderId="83" xfId="0" applyNumberFormat="1" applyFont="1" applyFill="1" applyBorder="1" applyAlignment="1">
      <alignment horizontal="center" vertical="center" wrapText="1"/>
    </xf>
    <xf numFmtId="10" fontId="32" fillId="66" borderId="83" xfId="17" applyNumberFormat="1" applyFont="1" applyFill="1" applyBorder="1" applyAlignment="1">
      <alignment horizontal="center" vertical="center" wrapText="1"/>
    </xf>
    <xf numFmtId="10" fontId="32" fillId="66" borderId="83" xfId="0" applyNumberFormat="1" applyFont="1" applyFill="1" applyBorder="1" applyAlignment="1">
      <alignment horizontal="center" vertical="center" wrapText="1"/>
    </xf>
    <xf numFmtId="4" fontId="32" fillId="66" borderId="83" xfId="0" applyNumberFormat="1" applyFont="1" applyFill="1" applyBorder="1" applyAlignment="1">
      <alignment vertical="center" wrapText="1"/>
    </xf>
    <xf numFmtId="10" fontId="32" fillId="66" borderId="83" xfId="0" applyNumberFormat="1" applyFont="1" applyFill="1" applyBorder="1" applyAlignment="1">
      <alignment vertical="center" wrapText="1"/>
    </xf>
    <xf numFmtId="10" fontId="32" fillId="66" borderId="83" xfId="3" applyNumberFormat="1" applyFont="1" applyFill="1" applyBorder="1" applyAlignment="1">
      <alignment vertical="center" wrapText="1"/>
    </xf>
    <xf numFmtId="3" fontId="96" fillId="66" borderId="123" xfId="0" applyNumberFormat="1" applyFont="1" applyFill="1" applyBorder="1" applyAlignment="1">
      <alignment vertical="center" wrapText="1"/>
    </xf>
    <xf numFmtId="3" fontId="96" fillId="66" borderId="82" xfId="0" applyNumberFormat="1" applyFont="1" applyFill="1" applyBorder="1" applyAlignment="1">
      <alignment vertical="center" wrapText="1"/>
    </xf>
    <xf numFmtId="3" fontId="96" fillId="66" borderId="83" xfId="0" applyNumberFormat="1" applyFont="1" applyFill="1" applyBorder="1" applyAlignment="1">
      <alignment vertical="center" wrapText="1"/>
    </xf>
    <xf numFmtId="0" fontId="32" fillId="67" borderId="74" xfId="0" applyFont="1" applyFill="1" applyBorder="1" applyAlignment="1">
      <alignment vertical="center" wrapText="1"/>
    </xf>
    <xf numFmtId="3" fontId="29" fillId="67" borderId="74" xfId="0" applyNumberFormat="1" applyFont="1" applyFill="1" applyBorder="1" applyAlignment="1">
      <alignment vertical="center" wrapText="1"/>
    </xf>
    <xf numFmtId="1" fontId="29" fillId="67" borderId="74" xfId="0" applyNumberFormat="1" applyFont="1" applyFill="1" applyBorder="1" applyAlignment="1">
      <alignment horizontal="center" vertical="center" wrapText="1"/>
    </xf>
    <xf numFmtId="1" fontId="32" fillId="67" borderId="74" xfId="0" applyNumberFormat="1" applyFont="1" applyFill="1" applyBorder="1" applyAlignment="1">
      <alignment horizontal="center" vertical="center" wrapText="1"/>
    </xf>
    <xf numFmtId="10" fontId="32" fillId="67" borderId="74" xfId="17" applyNumberFormat="1" applyFont="1" applyFill="1" applyBorder="1" applyAlignment="1">
      <alignment horizontal="center" vertical="center" wrapText="1"/>
    </xf>
    <xf numFmtId="0" fontId="32" fillId="67" borderId="74" xfId="17" applyNumberFormat="1" applyFont="1" applyFill="1" applyBorder="1" applyAlignment="1">
      <alignment horizontal="center" vertical="center" wrapText="1"/>
    </xf>
    <xf numFmtId="0" fontId="59" fillId="67" borderId="74" xfId="0" applyFont="1" applyFill="1" applyBorder="1" applyAlignment="1">
      <alignment vertical="center" wrapText="1"/>
    </xf>
    <xf numFmtId="0" fontId="29" fillId="67" borderId="74" xfId="0" applyFont="1" applyFill="1" applyBorder="1" applyAlignment="1">
      <alignment vertical="center" wrapText="1"/>
    </xf>
    <xf numFmtId="3" fontId="29" fillId="67" borderId="74" xfId="0" applyNumberFormat="1" applyFont="1" applyFill="1" applyBorder="1" applyAlignment="1">
      <alignment horizontal="center" vertical="center" wrapText="1"/>
    </xf>
    <xf numFmtId="10" fontId="32" fillId="67" borderId="74" xfId="0" applyNumberFormat="1" applyFont="1" applyFill="1" applyBorder="1" applyAlignment="1">
      <alignment horizontal="center" vertical="center" wrapText="1"/>
    </xf>
    <xf numFmtId="3" fontId="32" fillId="67" borderId="74" xfId="0" applyNumberFormat="1" applyFont="1" applyFill="1" applyBorder="1" applyAlignment="1">
      <alignment vertical="center" wrapText="1"/>
    </xf>
    <xf numFmtId="10" fontId="32" fillId="67" borderId="74" xfId="3" applyNumberFormat="1" applyFont="1" applyFill="1" applyBorder="1" applyAlignment="1">
      <alignment horizontal="center" vertical="center" wrapText="1"/>
    </xf>
    <xf numFmtId="10" fontId="29" fillId="67" borderId="74" xfId="0" applyNumberFormat="1" applyFont="1" applyFill="1" applyBorder="1" applyAlignment="1">
      <alignment horizontal="center" vertical="center" wrapText="1"/>
    </xf>
    <xf numFmtId="4" fontId="32" fillId="67" borderId="74" xfId="0" applyNumberFormat="1" applyFont="1" applyFill="1" applyBorder="1" applyAlignment="1">
      <alignment vertical="center" wrapText="1"/>
    </xf>
    <xf numFmtId="10" fontId="32" fillId="67" borderId="74" xfId="0" applyNumberFormat="1" applyFont="1" applyFill="1" applyBorder="1" applyAlignment="1">
      <alignment vertical="center" wrapText="1"/>
    </xf>
    <xf numFmtId="10" fontId="32" fillId="67" borderId="74" xfId="3" applyNumberFormat="1" applyFont="1" applyFill="1" applyBorder="1" applyAlignment="1">
      <alignment vertical="center" wrapText="1"/>
    </xf>
    <xf numFmtId="3" fontId="96" fillId="67" borderId="124" xfId="0" applyNumberFormat="1" applyFont="1" applyFill="1" applyBorder="1" applyAlignment="1">
      <alignment vertical="center" wrapText="1"/>
    </xf>
    <xf numFmtId="3" fontId="96" fillId="67" borderId="77" xfId="0" applyNumberFormat="1" applyFont="1" applyFill="1" applyBorder="1" applyAlignment="1">
      <alignment vertical="center" wrapText="1"/>
    </xf>
    <xf numFmtId="3" fontId="96" fillId="67" borderId="74" xfId="0" applyNumberFormat="1" applyFont="1" applyFill="1" applyBorder="1" applyAlignment="1">
      <alignment vertical="center" wrapText="1"/>
    </xf>
    <xf numFmtId="0" fontId="32" fillId="68" borderId="80" xfId="0" applyFont="1" applyFill="1" applyBorder="1" applyAlignment="1">
      <alignment vertical="center" wrapText="1"/>
    </xf>
    <xf numFmtId="3" fontId="32" fillId="68" borderId="80" xfId="0" applyNumberFormat="1" applyFont="1" applyFill="1" applyBorder="1" applyAlignment="1">
      <alignment vertical="center" wrapText="1"/>
    </xf>
    <xf numFmtId="1" fontId="32" fillId="68" borderId="80" xfId="0" applyNumberFormat="1" applyFont="1" applyFill="1" applyBorder="1" applyAlignment="1">
      <alignment horizontal="center" vertical="center" wrapText="1"/>
    </xf>
    <xf numFmtId="10" fontId="32" fillId="68" borderId="80" xfId="17" applyNumberFormat="1" applyFont="1" applyFill="1" applyBorder="1" applyAlignment="1">
      <alignment horizontal="center" vertical="center" wrapText="1"/>
    </xf>
    <xf numFmtId="10" fontId="32" fillId="68" borderId="80" xfId="0" applyNumberFormat="1" applyFont="1" applyFill="1" applyBorder="1" applyAlignment="1">
      <alignment horizontal="center" vertical="center" wrapText="1"/>
    </xf>
    <xf numFmtId="9" fontId="32" fillId="68" borderId="80" xfId="0" applyNumberFormat="1" applyFont="1" applyFill="1" applyBorder="1" applyAlignment="1">
      <alignment horizontal="center" vertical="center" wrapText="1"/>
    </xf>
    <xf numFmtId="0" fontId="60" fillId="68" borderId="93" xfId="0" applyFont="1" applyFill="1" applyBorder="1" applyAlignment="1">
      <alignment vertical="center" wrapText="1"/>
    </xf>
    <xf numFmtId="3" fontId="32" fillId="68" borderId="80" xfId="0" applyNumberFormat="1" applyFont="1" applyFill="1" applyBorder="1" applyAlignment="1">
      <alignment horizontal="center" vertical="center" wrapText="1"/>
    </xf>
    <xf numFmtId="10" fontId="32" fillId="69" borderId="80" xfId="17" applyNumberFormat="1" applyFont="1" applyFill="1" applyBorder="1" applyAlignment="1">
      <alignment horizontal="center" vertical="center" wrapText="1"/>
    </xf>
    <xf numFmtId="10" fontId="32" fillId="68" borderId="86" xfId="3" applyNumberFormat="1" applyFont="1" applyFill="1" applyBorder="1" applyAlignment="1">
      <alignment horizontal="center" vertical="center" wrapText="1"/>
    </xf>
    <xf numFmtId="3" fontId="32" fillId="68" borderId="84" xfId="0" applyNumberFormat="1" applyFont="1" applyFill="1" applyBorder="1" applyAlignment="1">
      <alignment horizontal="right" vertical="center" wrapText="1"/>
    </xf>
    <xf numFmtId="10" fontId="32" fillId="68" borderId="80" xfId="3" applyNumberFormat="1" applyFont="1" applyFill="1" applyBorder="1" applyAlignment="1">
      <alignment horizontal="center" vertical="center" wrapText="1"/>
    </xf>
    <xf numFmtId="4" fontId="32" fillId="68" borderId="80" xfId="0" applyNumberFormat="1" applyFont="1" applyFill="1" applyBorder="1" applyAlignment="1">
      <alignment horizontal="center" vertical="center" wrapText="1"/>
    </xf>
    <xf numFmtId="3" fontId="96" fillId="68" borderId="125" xfId="0" applyNumberFormat="1" applyFont="1" applyFill="1" applyBorder="1" applyAlignment="1">
      <alignment vertical="center" wrapText="1"/>
    </xf>
    <xf numFmtId="3" fontId="96" fillId="68" borderId="86" xfId="0" applyNumberFormat="1" applyFont="1" applyFill="1" applyBorder="1" applyAlignment="1">
      <alignment vertical="center" wrapText="1"/>
    </xf>
    <xf numFmtId="3" fontId="96" fillId="68" borderId="80" xfId="0" applyNumberFormat="1" applyFont="1" applyFill="1" applyBorder="1" applyAlignment="1">
      <alignment vertical="center" wrapText="1"/>
    </xf>
    <xf numFmtId="0" fontId="97" fillId="0" borderId="126" xfId="12" applyFont="1" applyBorder="1" applyAlignment="1">
      <alignment horizontal="justify" vertical="center" wrapText="1"/>
    </xf>
    <xf numFmtId="0" fontId="97" fillId="0" borderId="31" xfId="15" applyFont="1" applyBorder="1" applyAlignment="1">
      <alignment horizontal="center" vertical="center"/>
    </xf>
    <xf numFmtId="0" fontId="97" fillId="0" borderId="32" xfId="15" applyFont="1" applyBorder="1" applyAlignment="1">
      <alignment horizontal="center" vertical="center"/>
    </xf>
    <xf numFmtId="0" fontId="29" fillId="0" borderId="106" xfId="0" applyFont="1" applyBorder="1" applyAlignment="1">
      <alignment horizontal="center" vertical="center"/>
    </xf>
    <xf numFmtId="0" fontId="98" fillId="9" borderId="31" xfId="0" applyFont="1" applyFill="1" applyBorder="1" applyAlignment="1">
      <alignment vertical="center" wrapText="1"/>
    </xf>
    <xf numFmtId="0" fontId="98" fillId="9" borderId="55" xfId="0" applyFont="1" applyFill="1" applyBorder="1" applyAlignment="1">
      <alignment horizontal="center" vertical="center" wrapText="1"/>
    </xf>
    <xf numFmtId="0" fontId="98" fillId="9" borderId="32" xfId="0" applyFont="1" applyFill="1" applyBorder="1" applyAlignment="1">
      <alignment vertical="center" wrapText="1"/>
    </xf>
    <xf numFmtId="0" fontId="97" fillId="9" borderId="16" xfId="14" applyFont="1" applyFill="1" applyBorder="1" applyAlignment="1">
      <alignment horizontal="justify" vertical="center" wrapText="1"/>
    </xf>
    <xf numFmtId="0" fontId="97" fillId="0" borderId="127" xfId="15" applyFont="1" applyBorder="1" applyAlignment="1">
      <alignment horizontal="center" vertical="center"/>
    </xf>
    <xf numFmtId="0" fontId="97" fillId="0" borderId="128" xfId="15" applyFont="1" applyBorder="1" applyAlignment="1">
      <alignment horizontal="center" vertical="center"/>
    </xf>
    <xf numFmtId="0" fontId="97" fillId="0" borderId="27" xfId="15" applyFont="1" applyBorder="1" applyAlignment="1">
      <alignment horizontal="center" vertical="center"/>
    </xf>
    <xf numFmtId="2" fontId="29" fillId="62" borderId="74" xfId="0" applyNumberFormat="1" applyFont="1" applyFill="1" applyBorder="1" applyAlignment="1">
      <alignment horizontal="center" vertical="center"/>
    </xf>
    <xf numFmtId="3" fontId="59" fillId="62" borderId="74" xfId="0" applyNumberFormat="1" applyFont="1" applyFill="1" applyBorder="1" applyAlignment="1">
      <alignment horizontal="left" vertical="top" wrapText="1"/>
    </xf>
    <xf numFmtId="167" fontId="29" fillId="9" borderId="74" xfId="0" applyNumberFormat="1" applyFont="1" applyFill="1" applyBorder="1" applyAlignment="1">
      <alignment horizontal="right" vertical="center"/>
    </xf>
    <xf numFmtId="44" fontId="29" fillId="0" borderId="74" xfId="13" applyFont="1" applyBorder="1" applyAlignment="1">
      <alignment vertical="center" wrapText="1"/>
    </xf>
    <xf numFmtId="0" fontId="98" fillId="9" borderId="20" xfId="0" applyFont="1" applyFill="1" applyBorder="1" applyAlignment="1">
      <alignment horizontal="center" vertical="center" wrapText="1"/>
    </xf>
    <xf numFmtId="0" fontId="98" fillId="9" borderId="16" xfId="0" applyFont="1" applyFill="1" applyBorder="1" applyAlignment="1">
      <alignment vertical="center" wrapText="1"/>
    </xf>
    <xf numFmtId="0" fontId="97" fillId="9" borderId="34" xfId="12" applyFont="1" applyFill="1" applyBorder="1" applyAlignment="1">
      <alignment horizontal="justify" vertical="center" wrapText="1"/>
    </xf>
    <xf numFmtId="0" fontId="97" fillId="0" borderId="16" xfId="12" applyFont="1" applyBorder="1" applyAlignment="1">
      <alignment horizontal="justify" vertical="center" wrapText="1"/>
    </xf>
    <xf numFmtId="0" fontId="97" fillId="0" borderId="34" xfId="15" applyFont="1" applyBorder="1" applyAlignment="1">
      <alignment horizontal="center" vertical="center"/>
    </xf>
    <xf numFmtId="0" fontId="97" fillId="0" borderId="16" xfId="15" applyFont="1" applyBorder="1" applyAlignment="1">
      <alignment horizontal="center" vertical="center"/>
    </xf>
    <xf numFmtId="0" fontId="97" fillId="0" borderId="18" xfId="15" applyFont="1" applyBorder="1" applyAlignment="1">
      <alignment horizontal="center" vertical="center"/>
    </xf>
    <xf numFmtId="0" fontId="97" fillId="9" borderId="16" xfId="12" applyFont="1" applyFill="1" applyBorder="1" applyAlignment="1">
      <alignment horizontal="justify" vertical="center" wrapText="1"/>
    </xf>
    <xf numFmtId="10" fontId="29" fillId="0" borderId="74" xfId="17" applyNumberFormat="1" applyFont="1" applyBorder="1" applyAlignment="1">
      <alignment horizontal="center" vertical="center" wrapText="1"/>
    </xf>
    <xf numFmtId="0" fontId="97" fillId="9" borderId="38" xfId="12" applyFont="1" applyFill="1" applyBorder="1" applyAlignment="1">
      <alignment horizontal="justify" vertical="center" wrapText="1"/>
    </xf>
    <xf numFmtId="0" fontId="97" fillId="9" borderId="36" xfId="12" applyFont="1" applyFill="1" applyBorder="1" applyAlignment="1">
      <alignment horizontal="justify" vertical="center" wrapText="1"/>
    </xf>
    <xf numFmtId="9" fontId="97" fillId="0" borderId="38" xfId="15" applyNumberFormat="1" applyFont="1" applyBorder="1" applyAlignment="1">
      <alignment horizontal="center" vertical="center"/>
    </xf>
    <xf numFmtId="9" fontId="97" fillId="0" borderId="36" xfId="15" applyNumberFormat="1" applyFont="1" applyBorder="1" applyAlignment="1">
      <alignment horizontal="center" vertical="center"/>
    </xf>
    <xf numFmtId="9" fontId="97" fillId="0" borderId="60" xfId="15" applyNumberFormat="1" applyFont="1" applyBorder="1" applyAlignment="1">
      <alignment horizontal="center" vertical="center"/>
    </xf>
    <xf numFmtId="44" fontId="29" fillId="0" borderId="93" xfId="13" applyFont="1" applyBorder="1" applyAlignment="1">
      <alignment vertical="center" wrapText="1"/>
    </xf>
    <xf numFmtId="0" fontId="98" fillId="9" borderId="38" xfId="0" applyFont="1" applyFill="1" applyBorder="1" applyAlignment="1">
      <alignment vertical="center" wrapText="1"/>
    </xf>
    <xf numFmtId="0" fontId="98" fillId="9" borderId="56" xfId="0" applyFont="1" applyFill="1" applyBorder="1" applyAlignment="1">
      <alignment horizontal="center" vertical="center" wrapText="1"/>
    </xf>
    <xf numFmtId="0" fontId="98" fillId="9" borderId="36" xfId="0" applyFont="1" applyFill="1" applyBorder="1" applyAlignment="1">
      <alignment vertical="center" wrapText="1"/>
    </xf>
    <xf numFmtId="0" fontId="32" fillId="68" borderId="81" xfId="0" applyFont="1" applyFill="1" applyBorder="1" applyAlignment="1">
      <alignment vertical="center" wrapText="1"/>
    </xf>
    <xf numFmtId="3" fontId="32" fillId="68" borderId="81" xfId="0" applyNumberFormat="1" applyFont="1" applyFill="1" applyBorder="1" applyAlignment="1">
      <alignment vertical="center" wrapText="1"/>
    </xf>
    <xf numFmtId="1" fontId="32" fillId="68" borderId="81" xfId="0" applyNumberFormat="1" applyFont="1" applyFill="1" applyBorder="1" applyAlignment="1">
      <alignment horizontal="center" vertical="center" wrapText="1"/>
    </xf>
    <xf numFmtId="10" fontId="32" fillId="68" borderId="81" xfId="17" applyNumberFormat="1" applyFont="1" applyFill="1" applyBorder="1" applyAlignment="1">
      <alignment horizontal="center" vertical="center" wrapText="1"/>
    </xf>
    <xf numFmtId="10" fontId="32" fillId="68" borderId="81" xfId="0" applyNumberFormat="1" applyFont="1" applyFill="1" applyBorder="1" applyAlignment="1">
      <alignment horizontal="center" vertical="center" wrapText="1"/>
    </xf>
    <xf numFmtId="9" fontId="32" fillId="68" borderId="81" xfId="0" applyNumberFormat="1" applyFont="1" applyFill="1" applyBorder="1" applyAlignment="1">
      <alignment horizontal="center" vertical="center" wrapText="1"/>
    </xf>
    <xf numFmtId="0" fontId="60" fillId="68" borderId="96" xfId="0" applyFont="1" applyFill="1" applyBorder="1" applyAlignment="1">
      <alignment vertical="center" wrapText="1"/>
    </xf>
    <xf numFmtId="3" fontId="32" fillId="68" borderId="81" xfId="0" applyNumberFormat="1" applyFont="1" applyFill="1" applyBorder="1" applyAlignment="1">
      <alignment horizontal="center" vertical="center" wrapText="1"/>
    </xf>
    <xf numFmtId="10" fontId="32" fillId="68" borderId="104" xfId="3" applyNumberFormat="1" applyFont="1" applyFill="1" applyBorder="1" applyAlignment="1">
      <alignment horizontal="right" vertical="center" wrapText="1"/>
    </xf>
    <xf numFmtId="10" fontId="32" fillId="68" borderId="81" xfId="3" applyNumberFormat="1" applyFont="1" applyFill="1" applyBorder="1" applyAlignment="1">
      <alignment horizontal="center" vertical="center" wrapText="1"/>
    </xf>
    <xf numFmtId="4" fontId="32" fillId="68" borderId="81" xfId="0" applyNumberFormat="1" applyFont="1" applyFill="1" applyBorder="1" applyAlignment="1">
      <alignment horizontal="center" vertical="center" wrapText="1"/>
    </xf>
    <xf numFmtId="3" fontId="96" fillId="68" borderId="129" xfId="0" applyNumberFormat="1" applyFont="1" applyFill="1" applyBorder="1" applyAlignment="1">
      <alignment vertical="center" wrapText="1"/>
    </xf>
    <xf numFmtId="3" fontId="96" fillId="68" borderId="113" xfId="0" applyNumberFormat="1" applyFont="1" applyFill="1" applyBorder="1" applyAlignment="1">
      <alignment vertical="center" wrapText="1"/>
    </xf>
    <xf numFmtId="3" fontId="96" fillId="68" borderId="81" xfId="0" applyNumberFormat="1" applyFont="1" applyFill="1" applyBorder="1" applyAlignment="1">
      <alignment vertical="center" wrapText="1"/>
    </xf>
    <xf numFmtId="0" fontId="97" fillId="9" borderId="14" xfId="12" applyFont="1" applyFill="1" applyBorder="1" applyAlignment="1">
      <alignment horizontal="justify" vertical="center" wrapText="1"/>
    </xf>
    <xf numFmtId="0" fontId="97" fillId="9" borderId="112" xfId="12" applyFont="1" applyFill="1" applyBorder="1" applyAlignment="1">
      <alignment horizontal="justify" vertical="center" wrapText="1"/>
    </xf>
    <xf numFmtId="0" fontId="29" fillId="0" borderId="96" xfId="0" applyFont="1" applyBorder="1" applyAlignment="1">
      <alignment horizontal="center" vertical="center" wrapText="1"/>
    </xf>
    <xf numFmtId="0" fontId="97" fillId="0" borderId="110" xfId="15" applyFont="1" applyBorder="1" applyAlignment="1">
      <alignment horizontal="center" vertical="center"/>
    </xf>
    <xf numFmtId="0" fontId="97" fillId="0" borderId="112" xfId="15" applyFont="1" applyBorder="1" applyAlignment="1">
      <alignment horizontal="center" vertical="center"/>
    </xf>
    <xf numFmtId="0" fontId="97" fillId="0" borderId="111" xfId="15" applyFont="1" applyBorder="1" applyAlignment="1">
      <alignment horizontal="center" vertical="center"/>
    </xf>
    <xf numFmtId="0" fontId="29" fillId="0" borderId="96" xfId="0" applyFont="1" applyBorder="1" applyAlignment="1">
      <alignment horizontal="center" vertical="center"/>
    </xf>
    <xf numFmtId="3" fontId="59" fillId="62" borderId="96" xfId="0" applyNumberFormat="1" applyFont="1" applyFill="1" applyBorder="1" applyAlignment="1">
      <alignment horizontal="left" vertical="center" wrapText="1"/>
    </xf>
    <xf numFmtId="3" fontId="32" fillId="0" borderId="96" xfId="0" applyNumberFormat="1" applyFont="1" applyBorder="1" applyAlignment="1">
      <alignment vertical="center" wrapText="1"/>
    </xf>
    <xf numFmtId="0" fontId="98" fillId="9" borderId="130" xfId="0" applyFont="1" applyFill="1" applyBorder="1" applyAlignment="1">
      <alignment vertical="center" wrapText="1"/>
    </xf>
    <xf numFmtId="0" fontId="98" fillId="9" borderId="112" xfId="0" applyFont="1" applyFill="1" applyBorder="1" applyAlignment="1">
      <alignment vertical="center" wrapText="1"/>
    </xf>
    <xf numFmtId="3" fontId="96" fillId="68" borderId="105" xfId="0" applyNumberFormat="1" applyFont="1" applyFill="1" applyBorder="1" applyAlignment="1">
      <alignment vertical="center" wrapText="1"/>
    </xf>
    <xf numFmtId="3" fontId="96" fillId="68" borderId="104" xfId="0" applyNumberFormat="1" applyFont="1" applyFill="1" applyBorder="1" applyAlignment="1">
      <alignment vertical="center" wrapText="1"/>
    </xf>
    <xf numFmtId="3" fontId="96" fillId="68" borderId="96" xfId="0" applyNumberFormat="1" applyFont="1" applyFill="1" applyBorder="1" applyAlignment="1">
      <alignment vertical="center" wrapText="1"/>
    </xf>
    <xf numFmtId="0" fontId="97" fillId="9" borderId="31" xfId="12" applyFont="1" applyFill="1" applyBorder="1" applyAlignment="1">
      <alignment horizontal="justify" vertical="center" wrapText="1"/>
    </xf>
    <xf numFmtId="0" fontId="97" fillId="9" borderId="32" xfId="12" applyFont="1" applyFill="1" applyBorder="1" applyAlignment="1">
      <alignment horizontal="justify" vertical="center" wrapText="1"/>
    </xf>
    <xf numFmtId="0" fontId="98" fillId="9" borderId="55" xfId="0" applyFont="1" applyFill="1" applyBorder="1" applyAlignment="1">
      <alignment horizontal="center" vertical="center"/>
    </xf>
    <xf numFmtId="0" fontId="98" fillId="9" borderId="30" xfId="0" applyFont="1" applyFill="1" applyBorder="1" applyAlignment="1">
      <alignment vertical="center" wrapText="1"/>
    </xf>
    <xf numFmtId="0" fontId="97" fillId="9" borderId="117" xfId="12" applyFont="1" applyFill="1" applyBorder="1" applyAlignment="1">
      <alignment horizontal="justify" vertical="center" wrapText="1"/>
    </xf>
    <xf numFmtId="0" fontId="97" fillId="0" borderId="63" xfId="15" applyFont="1" applyBorder="1" applyAlignment="1">
      <alignment horizontal="center" vertical="center"/>
    </xf>
    <xf numFmtId="0" fontId="97" fillId="0" borderId="30" xfId="15" applyFont="1" applyBorder="1" applyAlignment="1">
      <alignment horizontal="center" vertical="center"/>
    </xf>
    <xf numFmtId="0" fontId="97" fillId="9" borderId="37" xfId="12" applyFont="1" applyFill="1" applyBorder="1" applyAlignment="1">
      <alignment horizontal="justify" vertical="center" wrapText="1"/>
    </xf>
    <xf numFmtId="0" fontId="97" fillId="0" borderId="37" xfId="15" applyFont="1" applyBorder="1" applyAlignment="1">
      <alignment horizontal="center" vertical="center"/>
    </xf>
    <xf numFmtId="0" fontId="97" fillId="0" borderId="21" xfId="15" applyFont="1" applyBorder="1" applyAlignment="1">
      <alignment horizontal="center" vertical="center"/>
    </xf>
    <xf numFmtId="0" fontId="98" fillId="9" borderId="28" xfId="0" applyFont="1" applyFill="1" applyBorder="1" applyAlignment="1">
      <alignment horizontal="center" vertical="center" wrapText="1"/>
    </xf>
    <xf numFmtId="0" fontId="97" fillId="0" borderId="38" xfId="15" applyFont="1" applyBorder="1" applyAlignment="1">
      <alignment horizontal="center" vertical="center"/>
    </xf>
    <xf numFmtId="0" fontId="97" fillId="0" borderId="36" xfId="15" applyFont="1" applyBorder="1" applyAlignment="1">
      <alignment horizontal="center" vertical="center"/>
    </xf>
    <xf numFmtId="0" fontId="97" fillId="0" borderId="60" xfId="15" applyFont="1" applyBorder="1" applyAlignment="1">
      <alignment horizontal="center" vertical="center"/>
    </xf>
    <xf numFmtId="2" fontId="29" fillId="0" borderId="93" xfId="0" applyNumberFormat="1" applyFont="1" applyBorder="1" applyAlignment="1">
      <alignment horizontal="center" vertical="center" wrapText="1"/>
    </xf>
    <xf numFmtId="164" fontId="29" fillId="0" borderId="93" xfId="0" applyNumberFormat="1" applyFont="1" applyBorder="1" applyAlignment="1">
      <alignment horizontal="center" vertical="center" wrapText="1"/>
    </xf>
    <xf numFmtId="3" fontId="59" fillId="62" borderId="93" xfId="0" applyNumberFormat="1" applyFont="1" applyFill="1" applyBorder="1" applyAlignment="1">
      <alignment horizontal="left" vertical="top" wrapText="1"/>
    </xf>
    <xf numFmtId="167" fontId="29" fillId="0" borderId="93" xfId="0" applyNumberFormat="1" applyFont="1" applyBorder="1" applyAlignment="1">
      <alignment vertical="center"/>
    </xf>
    <xf numFmtId="4" fontId="32" fillId="0" borderId="93" xfId="0" applyNumberFormat="1" applyFont="1" applyBorder="1" applyAlignment="1">
      <alignment vertical="center" wrapText="1"/>
    </xf>
    <xf numFmtId="10" fontId="32" fillId="0" borderId="93" xfId="0" applyNumberFormat="1" applyFont="1" applyBorder="1" applyAlignment="1">
      <alignment vertical="center" wrapText="1"/>
    </xf>
    <xf numFmtId="10" fontId="32" fillId="0" borderId="93" xfId="3" applyNumberFormat="1" applyFont="1" applyBorder="1" applyAlignment="1">
      <alignment vertical="center" wrapText="1"/>
    </xf>
    <xf numFmtId="0" fontId="98" fillId="9" borderId="56" xfId="0" applyFont="1" applyFill="1" applyBorder="1" applyAlignment="1">
      <alignment horizontal="center" vertical="center"/>
    </xf>
    <xf numFmtId="0" fontId="32" fillId="67" borderId="83" xfId="0" applyFont="1" applyFill="1" applyBorder="1" applyAlignment="1">
      <alignment vertical="center" wrapText="1"/>
    </xf>
    <xf numFmtId="3" fontId="29" fillId="67" borderId="83" xfId="0" applyNumberFormat="1" applyFont="1" applyFill="1" applyBorder="1" applyAlignment="1">
      <alignment vertical="center" wrapText="1"/>
    </xf>
    <xf numFmtId="1" fontId="29" fillId="67" borderId="83" xfId="0" applyNumberFormat="1" applyFont="1" applyFill="1" applyBorder="1" applyAlignment="1">
      <alignment horizontal="center" vertical="center" wrapText="1"/>
    </xf>
    <xf numFmtId="1" fontId="32" fillId="67" borderId="83" xfId="0" applyNumberFormat="1" applyFont="1" applyFill="1" applyBorder="1" applyAlignment="1">
      <alignment horizontal="center" vertical="center" wrapText="1"/>
    </xf>
    <xf numFmtId="10" fontId="32" fillId="67" borderId="83" xfId="3" applyNumberFormat="1" applyFont="1" applyFill="1" applyBorder="1" applyAlignment="1">
      <alignment horizontal="center" vertical="center" wrapText="1"/>
    </xf>
    <xf numFmtId="10" fontId="32" fillId="67" borderId="83" xfId="17" applyNumberFormat="1" applyFont="1" applyFill="1" applyBorder="1" applyAlignment="1">
      <alignment horizontal="center" vertical="center" wrapText="1"/>
    </xf>
    <xf numFmtId="0" fontId="32" fillId="67" borderId="83" xfId="17" applyNumberFormat="1" applyFont="1" applyFill="1" applyBorder="1" applyAlignment="1">
      <alignment horizontal="center" vertical="center" wrapText="1"/>
    </xf>
    <xf numFmtId="0" fontId="59" fillId="67" borderId="83" xfId="0" applyFont="1" applyFill="1" applyBorder="1" applyAlignment="1">
      <alignment vertical="center" wrapText="1"/>
    </xf>
    <xf numFmtId="0" fontId="29" fillId="67" borderId="83" xfId="0" applyFont="1" applyFill="1" applyBorder="1" applyAlignment="1">
      <alignment vertical="center" wrapText="1"/>
    </xf>
    <xf numFmtId="3" fontId="29" fillId="67" borderId="83" xfId="0" applyNumberFormat="1" applyFont="1" applyFill="1" applyBorder="1" applyAlignment="1">
      <alignment horizontal="center" vertical="center" wrapText="1"/>
    </xf>
    <xf numFmtId="10" fontId="32" fillId="67" borderId="83" xfId="0" applyNumberFormat="1" applyFont="1" applyFill="1" applyBorder="1" applyAlignment="1">
      <alignment horizontal="center" vertical="center" wrapText="1"/>
    </xf>
    <xf numFmtId="3" fontId="32" fillId="67" borderId="83" xfId="0" applyNumberFormat="1" applyFont="1" applyFill="1" applyBorder="1" applyAlignment="1">
      <alignment vertical="center" wrapText="1"/>
    </xf>
    <xf numFmtId="4" fontId="32" fillId="67" borderId="83" xfId="0" applyNumberFormat="1" applyFont="1" applyFill="1" applyBorder="1" applyAlignment="1">
      <alignment vertical="center" wrapText="1"/>
    </xf>
    <xf numFmtId="10" fontId="29" fillId="67" borderId="83" xfId="0" applyNumberFormat="1" applyFont="1" applyFill="1" applyBorder="1" applyAlignment="1">
      <alignment horizontal="center" vertical="center" wrapText="1"/>
    </xf>
    <xf numFmtId="10" fontId="32" fillId="67" borderId="83" xfId="0" applyNumberFormat="1" applyFont="1" applyFill="1" applyBorder="1" applyAlignment="1">
      <alignment vertical="center" wrapText="1"/>
    </xf>
    <xf numFmtId="10" fontId="32" fillId="67" borderId="83" xfId="3" applyNumberFormat="1" applyFont="1" applyFill="1" applyBorder="1" applyAlignment="1">
      <alignment vertical="center" wrapText="1"/>
    </xf>
    <xf numFmtId="3" fontId="96" fillId="67" borderId="123" xfId="0" applyNumberFormat="1" applyFont="1" applyFill="1" applyBorder="1" applyAlignment="1">
      <alignment vertical="center" wrapText="1"/>
    </xf>
    <xf numFmtId="3" fontId="96" fillId="67" borderId="82" xfId="0" applyNumberFormat="1" applyFont="1" applyFill="1" applyBorder="1" applyAlignment="1">
      <alignment vertical="center" wrapText="1"/>
    </xf>
    <xf numFmtId="3" fontId="96" fillId="67" borderId="83" xfId="0" applyNumberFormat="1" applyFont="1" applyFill="1" applyBorder="1" applyAlignment="1">
      <alignment vertical="center" wrapText="1"/>
    </xf>
    <xf numFmtId="3" fontId="96" fillId="68" borderId="93" xfId="0" applyNumberFormat="1" applyFont="1" applyFill="1" applyBorder="1" applyAlignment="1">
      <alignment vertical="center" wrapText="1"/>
    </xf>
    <xf numFmtId="3" fontId="97" fillId="0" borderId="31" xfId="15" applyNumberFormat="1" applyFont="1" applyBorder="1" applyAlignment="1">
      <alignment horizontal="center" vertical="center"/>
    </xf>
    <xf numFmtId="0" fontId="97" fillId="0" borderId="59" xfId="15" applyFont="1" applyBorder="1" applyAlignment="1">
      <alignment horizontal="center" vertical="center"/>
    </xf>
    <xf numFmtId="0" fontId="101" fillId="0" borderId="90" xfId="0" applyFont="1" applyBorder="1" applyAlignment="1">
      <alignment horizontal="left" vertical="center" wrapText="1"/>
    </xf>
    <xf numFmtId="2" fontId="29" fillId="0" borderId="77" xfId="0" applyNumberFormat="1" applyFont="1" applyBorder="1" applyAlignment="1">
      <alignment horizontal="center" vertical="center" wrapText="1"/>
    </xf>
    <xf numFmtId="0" fontId="98" fillId="9" borderId="117" xfId="0" applyFont="1" applyFill="1" applyBorder="1" applyAlignment="1">
      <alignment vertical="center" wrapText="1"/>
    </xf>
    <xf numFmtId="0" fontId="97" fillId="9" borderId="30" xfId="12" applyFont="1" applyFill="1" applyBorder="1" applyAlignment="1">
      <alignment horizontal="justify" vertical="center" wrapText="1"/>
    </xf>
    <xf numFmtId="9" fontId="29" fillId="0" borderId="74" xfId="3" applyFont="1" applyBorder="1" applyAlignment="1">
      <alignment horizontal="center" vertical="center" wrapText="1"/>
    </xf>
    <xf numFmtId="1" fontId="29" fillId="62" borderId="74" xfId="0" applyNumberFormat="1" applyFont="1" applyFill="1" applyBorder="1" applyAlignment="1">
      <alignment horizontal="center" vertical="center" wrapText="1"/>
    </xf>
    <xf numFmtId="0" fontId="101" fillId="0" borderId="92" xfId="0" applyFont="1" applyBorder="1" applyAlignment="1">
      <alignment horizontal="left" vertical="center" wrapText="1"/>
    </xf>
    <xf numFmtId="3" fontId="59" fillId="62" borderId="93" xfId="0" applyNumberFormat="1" applyFont="1" applyFill="1" applyBorder="1" applyAlignment="1">
      <alignment vertical="top" wrapText="1"/>
    </xf>
    <xf numFmtId="10" fontId="32" fillId="68" borderId="104" xfId="3" applyNumberFormat="1" applyFont="1" applyFill="1" applyBorder="1" applyAlignment="1">
      <alignment horizontal="center" vertical="center" wrapText="1"/>
    </xf>
    <xf numFmtId="0" fontId="97" fillId="0" borderId="32" xfId="12" applyFont="1" applyBorder="1" applyAlignment="1">
      <alignment horizontal="justify" vertical="center" wrapText="1"/>
    </xf>
    <xf numFmtId="0" fontId="97" fillId="9" borderId="31" xfId="15" applyFont="1" applyFill="1" applyBorder="1" applyAlignment="1">
      <alignment horizontal="center" vertical="center"/>
    </xf>
    <xf numFmtId="0" fontId="97" fillId="9" borderId="32" xfId="15" applyFont="1" applyFill="1" applyBorder="1" applyAlignment="1">
      <alignment horizontal="center" vertical="center"/>
    </xf>
    <xf numFmtId="0" fontId="97" fillId="9" borderId="59" xfId="15" applyFont="1" applyFill="1" applyBorder="1" applyAlignment="1">
      <alignment horizontal="center" vertical="center"/>
    </xf>
    <xf numFmtId="2" fontId="29" fillId="0" borderId="88" xfId="0" applyNumberFormat="1" applyFont="1" applyBorder="1" applyAlignment="1">
      <alignment horizontal="center" vertical="center" wrapText="1"/>
    </xf>
    <xf numFmtId="9" fontId="29" fillId="0" borderId="131" xfId="17" applyFont="1" applyBorder="1" applyAlignment="1">
      <alignment horizontal="center" vertical="center" wrapText="1"/>
    </xf>
    <xf numFmtId="3" fontId="59" fillId="62" borderId="30" xfId="0" applyNumberFormat="1" applyFont="1" applyFill="1" applyBorder="1" applyAlignment="1">
      <alignment horizontal="left" vertical="top" wrapText="1"/>
    </xf>
    <xf numFmtId="0" fontId="97" fillId="9" borderId="34" xfId="15" applyFont="1" applyFill="1" applyBorder="1" applyAlignment="1">
      <alignment horizontal="center" vertical="center"/>
    </xf>
    <xf numFmtId="0" fontId="97" fillId="9" borderId="16" xfId="15" applyFont="1" applyFill="1" applyBorder="1" applyAlignment="1">
      <alignment horizontal="center" vertical="center"/>
    </xf>
    <xf numFmtId="0" fontId="97" fillId="9" borderId="18" xfId="15" applyFont="1" applyFill="1" applyBorder="1" applyAlignment="1">
      <alignment horizontal="center" vertical="center"/>
    </xf>
    <xf numFmtId="9" fontId="29" fillId="0" borderId="75" xfId="17" applyFont="1" applyBorder="1" applyAlignment="1">
      <alignment horizontal="center" vertical="center" wrapText="1"/>
    </xf>
    <xf numFmtId="3" fontId="59" fillId="62" borderId="16" xfId="0" applyNumberFormat="1" applyFont="1" applyFill="1" applyBorder="1" applyAlignment="1">
      <alignment horizontal="left" vertical="top" wrapText="1"/>
    </xf>
    <xf numFmtId="0" fontId="98" fillId="9" borderId="26" xfId="0" applyFont="1" applyFill="1" applyBorder="1" applyAlignment="1">
      <alignment horizontal="center" vertical="center" wrapText="1"/>
    </xf>
    <xf numFmtId="0" fontId="97" fillId="9" borderId="130" xfId="0" applyFont="1" applyFill="1" applyBorder="1" applyAlignment="1">
      <alignment horizontal="justify" vertical="center" wrapText="1"/>
    </xf>
    <xf numFmtId="9" fontId="29" fillId="0" borderId="108" xfId="17" applyFont="1" applyBorder="1" applyAlignment="1">
      <alignment horizontal="center" vertical="center" wrapText="1"/>
    </xf>
    <xf numFmtId="3" fontId="59" fillId="62" borderId="36" xfId="0" applyNumberFormat="1" applyFont="1" applyFill="1" applyBorder="1" applyAlignment="1">
      <alignment horizontal="left" vertical="top" wrapText="1"/>
    </xf>
    <xf numFmtId="0" fontId="98" fillId="9" borderId="64" xfId="0" applyFont="1" applyFill="1" applyBorder="1" applyAlignment="1">
      <alignment horizontal="center" vertical="center" wrapText="1"/>
    </xf>
    <xf numFmtId="0" fontId="60" fillId="68" borderId="81" xfId="0" applyFont="1" applyFill="1" applyBorder="1" applyAlignment="1">
      <alignment vertical="center" wrapText="1"/>
    </xf>
    <xf numFmtId="0" fontId="97" fillId="9" borderId="110" xfId="12" applyFont="1" applyFill="1" applyBorder="1" applyAlignment="1">
      <alignment horizontal="justify" vertical="center" wrapText="1"/>
    </xf>
    <xf numFmtId="3" fontId="59" fillId="62" borderId="96" xfId="0" applyNumberFormat="1" applyFont="1" applyFill="1" applyBorder="1" applyAlignment="1">
      <alignment vertical="top" wrapText="1"/>
    </xf>
    <xf numFmtId="4" fontId="32" fillId="0" borderId="96" xfId="0" applyNumberFormat="1" applyFont="1" applyBorder="1" applyAlignment="1">
      <alignment vertical="center" wrapText="1"/>
    </xf>
    <xf numFmtId="10" fontId="32" fillId="0" borderId="96" xfId="0" applyNumberFormat="1" applyFont="1" applyBorder="1" applyAlignment="1">
      <alignment vertical="center" wrapText="1"/>
    </xf>
    <xf numFmtId="10" fontId="32" fillId="0" borderId="96" xfId="3" applyNumberFormat="1" applyFont="1" applyBorder="1" applyAlignment="1">
      <alignment vertical="center" wrapText="1"/>
    </xf>
    <xf numFmtId="3" fontId="97" fillId="0" borderId="113" xfId="0" applyNumberFormat="1" applyFont="1" applyBorder="1" applyAlignment="1">
      <alignment horizontal="center" vertical="center" wrapText="1"/>
    </xf>
    <xf numFmtId="0" fontId="60" fillId="68" borderId="96" xfId="0" applyFont="1" applyFill="1" applyBorder="1" applyAlignment="1">
      <alignment horizontal="center" vertical="center" wrapText="1"/>
    </xf>
    <xf numFmtId="0" fontId="32" fillId="68" borderId="81" xfId="0" applyFont="1" applyFill="1" applyBorder="1" applyAlignment="1">
      <alignment horizontal="center" vertical="center" wrapText="1"/>
    </xf>
    <xf numFmtId="3" fontId="32" fillId="68" borderId="81" xfId="0" applyNumberFormat="1" applyFont="1" applyFill="1" applyBorder="1" applyAlignment="1">
      <alignment horizontal="right" vertical="center" wrapText="1"/>
    </xf>
    <xf numFmtId="4" fontId="32" fillId="68" borderId="81" xfId="0" applyNumberFormat="1" applyFont="1" applyFill="1" applyBorder="1" applyAlignment="1">
      <alignment vertical="center" wrapText="1"/>
    </xf>
    <xf numFmtId="10" fontId="32" fillId="68" borderId="81" xfId="0" applyNumberFormat="1" applyFont="1" applyFill="1" applyBorder="1" applyAlignment="1">
      <alignment vertical="center" wrapText="1"/>
    </xf>
    <xf numFmtId="10" fontId="32" fillId="68" borderId="81" xfId="3" applyNumberFormat="1" applyFont="1" applyFill="1" applyBorder="1" applyAlignment="1">
      <alignment vertical="center" wrapText="1"/>
    </xf>
    <xf numFmtId="0" fontId="101" fillId="0" borderId="87" xfId="0" applyFont="1" applyBorder="1" applyAlignment="1">
      <alignment horizontal="left" vertical="center" wrapText="1"/>
    </xf>
    <xf numFmtId="0" fontId="97" fillId="0" borderId="126" xfId="15" applyFont="1" applyBorder="1" applyAlignment="1">
      <alignment horizontal="center" vertical="center"/>
    </xf>
    <xf numFmtId="0" fontId="97" fillId="0" borderId="62" xfId="15" applyFont="1" applyBorder="1" applyAlignment="1">
      <alignment horizontal="center" vertical="center"/>
    </xf>
    <xf numFmtId="173" fontId="29" fillId="0" borderId="88" xfId="0" applyNumberFormat="1" applyFont="1" applyBorder="1" applyAlignment="1">
      <alignment horizontal="right" vertical="center" wrapText="1"/>
    </xf>
    <xf numFmtId="0" fontId="97" fillId="9" borderId="128" xfId="12" applyFont="1" applyFill="1" applyBorder="1" applyAlignment="1">
      <alignment horizontal="justify" vertical="center" wrapText="1"/>
    </xf>
    <xf numFmtId="0" fontId="97" fillId="0" borderId="132" xfId="0" applyFont="1" applyBorder="1" applyAlignment="1">
      <alignment horizontal="center" vertical="center" wrapText="1"/>
    </xf>
    <xf numFmtId="9" fontId="97" fillId="0" borderId="127" xfId="15" applyNumberFormat="1" applyFont="1" applyBorder="1" applyAlignment="1">
      <alignment horizontal="center" vertical="center"/>
    </xf>
    <xf numFmtId="9" fontId="97" fillId="0" borderId="16" xfId="15" applyNumberFormat="1" applyFont="1" applyBorder="1" applyAlignment="1">
      <alignment horizontal="center" vertical="center"/>
    </xf>
    <xf numFmtId="9" fontId="97" fillId="0" borderId="16" xfId="3" applyFont="1" applyBorder="1" applyAlignment="1">
      <alignment horizontal="center" vertical="center"/>
    </xf>
    <xf numFmtId="9" fontId="97" fillId="0" borderId="18" xfId="3" applyFont="1" applyBorder="1" applyAlignment="1">
      <alignment horizontal="center" vertical="center"/>
    </xf>
    <xf numFmtId="0" fontId="59" fillId="9" borderId="74" xfId="0" applyFont="1" applyFill="1" applyBorder="1" applyAlignment="1">
      <alignment vertical="top" wrapText="1"/>
    </xf>
    <xf numFmtId="173" fontId="29" fillId="0" borderId="74" xfId="0" applyNumberFormat="1" applyFont="1" applyBorder="1" applyAlignment="1">
      <alignment horizontal="right" vertical="center" wrapText="1"/>
    </xf>
    <xf numFmtId="0" fontId="97" fillId="0" borderId="38" xfId="12" applyFont="1" applyBorder="1" applyAlignment="1">
      <alignment horizontal="justify" vertical="center" wrapText="1"/>
    </xf>
    <xf numFmtId="0" fontId="97" fillId="0" borderId="36" xfId="12" applyFont="1" applyBorder="1" applyAlignment="1">
      <alignment horizontal="justify" vertical="center" wrapText="1"/>
    </xf>
    <xf numFmtId="2" fontId="29" fillId="62" borderId="93" xfId="0" applyNumberFormat="1" applyFont="1" applyFill="1" applyBorder="1" applyAlignment="1">
      <alignment horizontal="center" vertical="center"/>
    </xf>
    <xf numFmtId="9" fontId="32" fillId="0" borderId="93" xfId="3" applyFont="1" applyBorder="1" applyAlignment="1">
      <alignment horizontal="center" vertical="center" wrapText="1"/>
    </xf>
    <xf numFmtId="166" fontId="29" fillId="0" borderId="93" xfId="17" applyNumberFormat="1" applyFont="1" applyBorder="1" applyAlignment="1">
      <alignment horizontal="center" vertical="center" wrapText="1"/>
    </xf>
    <xf numFmtId="0" fontId="59" fillId="9" borderId="93" xfId="0" applyFont="1" applyFill="1" applyBorder="1" applyAlignment="1">
      <alignment vertical="top" wrapText="1"/>
    </xf>
    <xf numFmtId="173" fontId="29" fillId="0" borderId="93" xfId="0" applyNumberFormat="1" applyFont="1" applyBorder="1" applyAlignment="1">
      <alignment horizontal="right" vertical="center" wrapText="1"/>
    </xf>
    <xf numFmtId="173" fontId="29" fillId="0" borderId="96" xfId="0" applyNumberFormat="1" applyFont="1" applyBorder="1" applyAlignment="1">
      <alignment horizontal="right" vertical="center" wrapText="1"/>
    </xf>
    <xf numFmtId="0" fontId="98" fillId="9" borderId="110" xfId="0" applyFont="1" applyFill="1" applyBorder="1" applyAlignment="1">
      <alignment vertical="center" wrapText="1"/>
    </xf>
    <xf numFmtId="0" fontId="98" fillId="9" borderId="129" xfId="0" applyFont="1" applyFill="1" applyBorder="1" applyAlignment="1">
      <alignment vertical="center" wrapText="1"/>
    </xf>
    <xf numFmtId="0" fontId="95" fillId="70" borderId="83" xfId="0" applyFont="1" applyFill="1" applyBorder="1" applyAlignment="1">
      <alignment vertical="center" wrapText="1"/>
    </xf>
    <xf numFmtId="0" fontId="32" fillId="70" borderId="83" xfId="0" applyFont="1" applyFill="1" applyBorder="1" applyAlignment="1">
      <alignment vertical="center" wrapText="1"/>
    </xf>
    <xf numFmtId="3" fontId="29" fillId="70" borderId="83" xfId="0" applyNumberFormat="1" applyFont="1" applyFill="1" applyBorder="1" applyAlignment="1">
      <alignment vertical="center" wrapText="1"/>
    </xf>
    <xf numFmtId="1" fontId="29" fillId="70" borderId="83" xfId="0" applyNumberFormat="1" applyFont="1" applyFill="1" applyBorder="1" applyAlignment="1">
      <alignment horizontal="center" vertical="center" wrapText="1"/>
    </xf>
    <xf numFmtId="1" fontId="32" fillId="70" borderId="83" xfId="0" applyNumberFormat="1" applyFont="1" applyFill="1" applyBorder="1" applyAlignment="1">
      <alignment horizontal="center" vertical="center" wrapText="1"/>
    </xf>
    <xf numFmtId="10" fontId="32" fillId="70" borderId="83" xfId="3" applyNumberFormat="1" applyFont="1" applyFill="1" applyBorder="1" applyAlignment="1">
      <alignment horizontal="center" vertical="center" wrapText="1"/>
    </xf>
    <xf numFmtId="166" fontId="60" fillId="70" borderId="83" xfId="0" applyNumberFormat="1" applyFont="1" applyFill="1" applyBorder="1" applyAlignment="1">
      <alignment horizontal="center" vertical="center" wrapText="1"/>
    </xf>
    <xf numFmtId="0" fontId="29" fillId="70" borderId="83" xfId="0" applyFont="1" applyFill="1" applyBorder="1" applyAlignment="1">
      <alignment vertical="center" wrapText="1"/>
    </xf>
    <xf numFmtId="0" fontId="29" fillId="70" borderId="83" xfId="0" applyFont="1" applyFill="1" applyBorder="1" applyAlignment="1">
      <alignment horizontal="center" vertical="center" wrapText="1"/>
    </xf>
    <xf numFmtId="3" fontId="29" fillId="70" borderId="83" xfId="0" applyNumberFormat="1" applyFont="1" applyFill="1" applyBorder="1" applyAlignment="1">
      <alignment horizontal="center" vertical="center" wrapText="1"/>
    </xf>
    <xf numFmtId="10" fontId="32" fillId="70" borderId="83" xfId="17" applyNumberFormat="1" applyFont="1" applyFill="1" applyBorder="1" applyAlignment="1">
      <alignment horizontal="center" vertical="center" wrapText="1"/>
    </xf>
    <xf numFmtId="10" fontId="32" fillId="70" borderId="83" xfId="0" applyNumberFormat="1" applyFont="1" applyFill="1" applyBorder="1" applyAlignment="1">
      <alignment horizontal="center" vertical="center" wrapText="1"/>
    </xf>
    <xf numFmtId="3" fontId="32" fillId="70" borderId="83" xfId="0" applyNumberFormat="1" applyFont="1" applyFill="1" applyBorder="1" applyAlignment="1">
      <alignment vertical="center" wrapText="1"/>
    </xf>
    <xf numFmtId="4" fontId="32" fillId="70" borderId="83" xfId="0" applyNumberFormat="1" applyFont="1" applyFill="1" applyBorder="1" applyAlignment="1">
      <alignment vertical="center" wrapText="1"/>
    </xf>
    <xf numFmtId="10" fontId="32" fillId="70" borderId="83" xfId="0" applyNumberFormat="1" applyFont="1" applyFill="1" applyBorder="1" applyAlignment="1">
      <alignment vertical="center" wrapText="1"/>
    </xf>
    <xf numFmtId="10" fontId="32" fillId="70" borderId="83" xfId="3" applyNumberFormat="1" applyFont="1" applyFill="1" applyBorder="1" applyAlignment="1">
      <alignment vertical="center" wrapText="1"/>
    </xf>
    <xf numFmtId="3" fontId="96" fillId="70" borderId="123" xfId="0" applyNumberFormat="1" applyFont="1" applyFill="1" applyBorder="1" applyAlignment="1">
      <alignment vertical="center" wrapText="1"/>
    </xf>
    <xf numFmtId="3" fontId="96" fillId="70" borderId="82" xfId="0" applyNumberFormat="1" applyFont="1" applyFill="1" applyBorder="1" applyAlignment="1">
      <alignment vertical="center" wrapText="1"/>
    </xf>
    <xf numFmtId="3" fontId="96" fillId="70" borderId="83" xfId="0" applyNumberFormat="1" applyFont="1" applyFill="1" applyBorder="1" applyAlignment="1">
      <alignment vertical="center" wrapText="1"/>
    </xf>
    <xf numFmtId="0" fontId="32" fillId="71" borderId="74" xfId="0" applyFont="1" applyFill="1" applyBorder="1" applyAlignment="1">
      <alignment vertical="center" wrapText="1"/>
    </xf>
    <xf numFmtId="3" fontId="32" fillId="71" borderId="74" xfId="0" applyNumberFormat="1" applyFont="1" applyFill="1" applyBorder="1" applyAlignment="1">
      <alignment vertical="center" wrapText="1"/>
    </xf>
    <xf numFmtId="1" fontId="32" fillId="71" borderId="74" xfId="0" applyNumberFormat="1" applyFont="1" applyFill="1" applyBorder="1" applyAlignment="1">
      <alignment horizontal="center" vertical="center" wrapText="1"/>
    </xf>
    <xf numFmtId="10" fontId="32" fillId="71" borderId="74" xfId="3" applyNumberFormat="1" applyFont="1" applyFill="1" applyBorder="1" applyAlignment="1">
      <alignment horizontal="center" vertical="center" wrapText="1"/>
    </xf>
    <xf numFmtId="9" fontId="60" fillId="71" borderId="74" xfId="0" applyNumberFormat="1" applyFont="1" applyFill="1" applyBorder="1" applyAlignment="1">
      <alignment horizontal="center" vertical="center" wrapText="1"/>
    </xf>
    <xf numFmtId="0" fontId="32" fillId="71" borderId="74" xfId="0" applyFont="1" applyFill="1" applyBorder="1" applyAlignment="1">
      <alignment horizontal="center" vertical="center" wrapText="1"/>
    </xf>
    <xf numFmtId="3" fontId="32" fillId="71" borderId="74" xfId="0" applyNumberFormat="1" applyFont="1" applyFill="1" applyBorder="1" applyAlignment="1">
      <alignment horizontal="center" vertical="center" wrapText="1"/>
    </xf>
    <xf numFmtId="10" fontId="32" fillId="71" borderId="74" xfId="17" applyNumberFormat="1" applyFont="1" applyFill="1" applyBorder="1" applyAlignment="1">
      <alignment horizontal="center" vertical="center" wrapText="1"/>
    </xf>
    <xf numFmtId="10" fontId="32" fillId="71" borderId="74" xfId="0" applyNumberFormat="1" applyFont="1" applyFill="1" applyBorder="1" applyAlignment="1">
      <alignment horizontal="center" vertical="center" wrapText="1"/>
    </xf>
    <xf numFmtId="4" fontId="32" fillId="71" borderId="74" xfId="0" applyNumberFormat="1" applyFont="1" applyFill="1" applyBorder="1" applyAlignment="1">
      <alignment vertical="center" wrapText="1"/>
    </xf>
    <xf numFmtId="10" fontId="32" fillId="71" borderId="74" xfId="0" applyNumberFormat="1" applyFont="1" applyFill="1" applyBorder="1" applyAlignment="1">
      <alignment vertical="center" wrapText="1"/>
    </xf>
    <xf numFmtId="10" fontId="32" fillId="71" borderId="74" xfId="3" applyNumberFormat="1" applyFont="1" applyFill="1" applyBorder="1" applyAlignment="1">
      <alignment vertical="center" wrapText="1"/>
    </xf>
    <xf numFmtId="3" fontId="96" fillId="71" borderId="124" xfId="0" applyNumberFormat="1" applyFont="1" applyFill="1" applyBorder="1" applyAlignment="1">
      <alignment vertical="center" wrapText="1"/>
    </xf>
    <xf numFmtId="3" fontId="96" fillId="71" borderId="77" xfId="0" applyNumberFormat="1" applyFont="1" applyFill="1" applyBorder="1" applyAlignment="1">
      <alignment vertical="center" wrapText="1"/>
    </xf>
    <xf numFmtId="3" fontId="96" fillId="71" borderId="74" xfId="0" applyNumberFormat="1" applyFont="1" applyFill="1" applyBorder="1" applyAlignment="1">
      <alignment vertical="center" wrapText="1"/>
    </xf>
    <xf numFmtId="0" fontId="32" fillId="72" borderId="80" xfId="0" applyFont="1" applyFill="1" applyBorder="1" applyAlignment="1">
      <alignment vertical="center" wrapText="1"/>
    </xf>
    <xf numFmtId="3" fontId="32" fillId="72" borderId="80" xfId="0" applyNumberFormat="1" applyFont="1" applyFill="1" applyBorder="1" applyAlignment="1">
      <alignment vertical="center" wrapText="1"/>
    </xf>
    <xf numFmtId="1" fontId="32" fillId="72" borderId="80" xfId="0" applyNumberFormat="1" applyFont="1" applyFill="1" applyBorder="1" applyAlignment="1">
      <alignment horizontal="center" vertical="center" wrapText="1"/>
    </xf>
    <xf numFmtId="10" fontId="32" fillId="72" borderId="80" xfId="17" applyNumberFormat="1" applyFont="1" applyFill="1" applyBorder="1" applyAlignment="1">
      <alignment horizontal="center" vertical="center" wrapText="1"/>
    </xf>
    <xf numFmtId="10" fontId="32" fillId="72" borderId="80" xfId="0" applyNumberFormat="1" applyFont="1" applyFill="1" applyBorder="1" applyAlignment="1">
      <alignment horizontal="center" vertical="center" wrapText="1"/>
    </xf>
    <xf numFmtId="9" fontId="32" fillId="72" borderId="80" xfId="0" applyNumberFormat="1" applyFont="1" applyFill="1" applyBorder="1" applyAlignment="1">
      <alignment horizontal="center" vertical="center" wrapText="1"/>
    </xf>
    <xf numFmtId="9" fontId="60" fillId="72" borderId="80" xfId="0" applyNumberFormat="1" applyFont="1" applyFill="1" applyBorder="1" applyAlignment="1">
      <alignment horizontal="center" vertical="center" wrapText="1"/>
    </xf>
    <xf numFmtId="0" fontId="32" fillId="72" borderId="80" xfId="0" applyFont="1" applyFill="1" applyBorder="1" applyAlignment="1">
      <alignment horizontal="center" vertical="center" wrapText="1"/>
    </xf>
    <xf numFmtId="3" fontId="32" fillId="72" borderId="80" xfId="0" applyNumberFormat="1" applyFont="1" applyFill="1" applyBorder="1" applyAlignment="1">
      <alignment horizontal="center" vertical="center" wrapText="1"/>
    </xf>
    <xf numFmtId="10" fontId="32" fillId="72" borderId="80" xfId="3" applyNumberFormat="1" applyFont="1" applyFill="1" applyBorder="1" applyAlignment="1">
      <alignment horizontal="center" vertical="center" wrapText="1"/>
    </xf>
    <xf numFmtId="3" fontId="32" fillId="72" borderId="80" xfId="0" applyNumberFormat="1" applyFont="1" applyFill="1" applyBorder="1" applyAlignment="1">
      <alignment horizontal="right" vertical="center" wrapText="1"/>
    </xf>
    <xf numFmtId="4" fontId="32" fillId="72" borderId="80" xfId="0" applyNumberFormat="1" applyFont="1" applyFill="1" applyBorder="1" applyAlignment="1">
      <alignment vertical="center" wrapText="1"/>
    </xf>
    <xf numFmtId="10" fontId="32" fillId="72" borderId="80" xfId="0" applyNumberFormat="1" applyFont="1" applyFill="1" applyBorder="1" applyAlignment="1">
      <alignment vertical="center" wrapText="1"/>
    </xf>
    <xf numFmtId="10" fontId="32" fillId="72" borderId="80" xfId="3" applyNumberFormat="1" applyFont="1" applyFill="1" applyBorder="1" applyAlignment="1">
      <alignment vertical="center" wrapText="1"/>
    </xf>
    <xf numFmtId="3" fontId="96" fillId="72" borderId="103" xfId="0" applyNumberFormat="1" applyFont="1" applyFill="1" applyBorder="1" applyAlignment="1">
      <alignment vertical="center" wrapText="1"/>
    </xf>
    <xf numFmtId="3" fontId="96" fillId="72" borderId="86" xfId="0" applyNumberFormat="1" applyFont="1" applyFill="1" applyBorder="1" applyAlignment="1">
      <alignment vertical="center" wrapText="1"/>
    </xf>
    <xf numFmtId="3" fontId="96" fillId="72" borderId="80" xfId="0" applyNumberFormat="1" applyFont="1" applyFill="1" applyBorder="1" applyAlignment="1">
      <alignment vertical="center" wrapText="1"/>
    </xf>
    <xf numFmtId="0" fontId="97" fillId="0" borderId="31" xfId="12" applyFont="1" applyBorder="1" applyAlignment="1">
      <alignment horizontal="justify" vertical="center" wrapText="1"/>
    </xf>
    <xf numFmtId="0" fontId="97" fillId="0" borderId="59" xfId="12" applyFont="1" applyBorder="1" applyAlignment="1">
      <alignment horizontal="justify" vertical="center" wrapText="1"/>
    </xf>
    <xf numFmtId="0" fontId="97" fillId="0" borderId="31" xfId="12" applyFont="1" applyBorder="1" applyAlignment="1">
      <alignment horizontal="center" vertical="center"/>
    </xf>
    <xf numFmtId="0" fontId="97" fillId="0" borderId="32" xfId="12" applyFont="1" applyBorder="1" applyAlignment="1">
      <alignment horizontal="center" vertical="center"/>
    </xf>
    <xf numFmtId="0" fontId="97" fillId="0" borderId="59" xfId="12" applyFont="1" applyBorder="1" applyAlignment="1">
      <alignment horizontal="center" vertical="center"/>
    </xf>
    <xf numFmtId="0" fontId="29" fillId="62" borderId="88" xfId="0" applyFont="1" applyFill="1" applyBorder="1" applyAlignment="1">
      <alignment horizontal="center" vertical="center"/>
    </xf>
    <xf numFmtId="0" fontId="59" fillId="62" borderId="133" xfId="0" applyFont="1" applyFill="1" applyBorder="1" applyAlignment="1">
      <alignment vertical="top" wrapText="1"/>
    </xf>
    <xf numFmtId="0" fontId="98" fillId="9" borderId="134" xfId="0" applyFont="1" applyFill="1" applyBorder="1" applyAlignment="1">
      <alignment vertical="center" wrapText="1"/>
    </xf>
    <xf numFmtId="0" fontId="97" fillId="0" borderId="60" xfId="12" applyFont="1" applyBorder="1" applyAlignment="1">
      <alignment horizontal="justify" vertical="center" wrapText="1"/>
    </xf>
    <xf numFmtId="0" fontId="97" fillId="0" borderId="38" xfId="12" applyFont="1" applyBorder="1" applyAlignment="1">
      <alignment horizontal="center" vertical="center"/>
    </xf>
    <xf numFmtId="0" fontId="97" fillId="0" borderId="36" xfId="12" applyFont="1" applyBorder="1" applyAlignment="1">
      <alignment horizontal="center" vertical="center"/>
    </xf>
    <xf numFmtId="0" fontId="97" fillId="0" borderId="60" xfId="12" applyFont="1" applyBorder="1" applyAlignment="1">
      <alignment horizontal="center" vertical="center"/>
    </xf>
    <xf numFmtId="0" fontId="29" fillId="62" borderId="93" xfId="0" applyFont="1" applyFill="1" applyBorder="1" applyAlignment="1">
      <alignment horizontal="center" vertical="center"/>
    </xf>
    <xf numFmtId="0" fontId="59" fillId="62" borderId="135" xfId="0" applyFont="1" applyFill="1" applyBorder="1" applyAlignment="1">
      <alignment vertical="top" wrapText="1"/>
    </xf>
    <xf numFmtId="0" fontId="97" fillId="0" borderId="122" xfId="0" applyFont="1" applyBorder="1" applyAlignment="1">
      <alignment horizontal="center" vertical="center" wrapText="1"/>
    </xf>
    <xf numFmtId="0" fontId="32" fillId="72" borderId="81" xfId="0" applyFont="1" applyFill="1" applyBorder="1" applyAlignment="1">
      <alignment vertical="center" wrapText="1"/>
    </xf>
    <xf numFmtId="3" fontId="32" fillId="72" borderId="81" xfId="0" applyNumberFormat="1" applyFont="1" applyFill="1" applyBorder="1" applyAlignment="1">
      <alignment vertical="center" wrapText="1"/>
    </xf>
    <xf numFmtId="1" fontId="32" fillId="72" borderId="81" xfId="0" applyNumberFormat="1" applyFont="1" applyFill="1" applyBorder="1" applyAlignment="1">
      <alignment horizontal="center" vertical="center" wrapText="1"/>
    </xf>
    <xf numFmtId="10" fontId="32" fillId="72" borderId="81" xfId="17" applyNumberFormat="1" applyFont="1" applyFill="1" applyBorder="1" applyAlignment="1">
      <alignment horizontal="center" vertical="center" wrapText="1"/>
    </xf>
    <xf numFmtId="10" fontId="32" fillId="72" borderId="81" xfId="0" applyNumberFormat="1" applyFont="1" applyFill="1" applyBorder="1" applyAlignment="1">
      <alignment horizontal="center" vertical="center" wrapText="1"/>
    </xf>
    <xf numFmtId="9" fontId="32" fillId="72" borderId="81" xfId="0" applyNumberFormat="1" applyFont="1" applyFill="1" applyBorder="1" applyAlignment="1">
      <alignment horizontal="center" vertical="center" wrapText="1"/>
    </xf>
    <xf numFmtId="9" fontId="60" fillId="72" borderId="81" xfId="0" applyNumberFormat="1" applyFont="1" applyFill="1" applyBorder="1" applyAlignment="1">
      <alignment horizontal="center" vertical="center" wrapText="1"/>
    </xf>
    <xf numFmtId="0" fontId="32" fillId="72" borderId="81" xfId="0" applyFont="1" applyFill="1" applyBorder="1" applyAlignment="1">
      <alignment horizontal="center" vertical="center" wrapText="1"/>
    </xf>
    <xf numFmtId="3" fontId="32" fillId="72" borderId="81" xfId="0" applyNumberFormat="1" applyFont="1" applyFill="1" applyBorder="1" applyAlignment="1">
      <alignment horizontal="center" vertical="center" wrapText="1"/>
    </xf>
    <xf numFmtId="10" fontId="32" fillId="72" borderId="81" xfId="3" applyNumberFormat="1" applyFont="1" applyFill="1" applyBorder="1" applyAlignment="1">
      <alignment horizontal="center" vertical="center" wrapText="1"/>
    </xf>
    <xf numFmtId="4" fontId="32" fillId="72" borderId="81" xfId="0" applyNumberFormat="1" applyFont="1" applyFill="1" applyBorder="1" applyAlignment="1">
      <alignment vertical="center" wrapText="1"/>
    </xf>
    <xf numFmtId="10" fontId="32" fillId="72" borderId="81" xfId="0" applyNumberFormat="1" applyFont="1" applyFill="1" applyBorder="1" applyAlignment="1">
      <alignment vertical="center" wrapText="1"/>
    </xf>
    <xf numFmtId="10" fontId="32" fillId="72" borderId="81" xfId="3" applyNumberFormat="1" applyFont="1" applyFill="1" applyBorder="1" applyAlignment="1">
      <alignment vertical="center" wrapText="1"/>
    </xf>
    <xf numFmtId="3" fontId="96" fillId="72" borderId="129" xfId="0" applyNumberFormat="1" applyFont="1" applyFill="1" applyBorder="1" applyAlignment="1">
      <alignment vertical="center" wrapText="1"/>
    </xf>
    <xf numFmtId="3" fontId="96" fillId="72" borderId="28" xfId="0" applyNumberFormat="1" applyFont="1" applyFill="1" applyBorder="1" applyAlignment="1">
      <alignment vertical="center" wrapText="1"/>
    </xf>
    <xf numFmtId="3" fontId="96" fillId="72" borderId="136" xfId="0" applyNumberFormat="1" applyFont="1" applyFill="1" applyBorder="1" applyAlignment="1">
      <alignment vertical="center" wrapText="1"/>
    </xf>
    <xf numFmtId="0" fontId="97" fillId="0" borderId="82" xfId="0" applyFont="1" applyBorder="1" applyAlignment="1">
      <alignment horizontal="center" vertical="center" wrapText="1"/>
    </xf>
    <xf numFmtId="0" fontId="97" fillId="0" borderId="34" xfId="12" applyFont="1" applyBorder="1" applyAlignment="1">
      <alignment horizontal="justify" vertical="center" wrapText="1"/>
    </xf>
    <xf numFmtId="0" fontId="97" fillId="0" borderId="18" xfId="12" applyFont="1" applyBorder="1" applyAlignment="1">
      <alignment horizontal="justify" vertical="center" wrapText="1"/>
    </xf>
    <xf numFmtId="0" fontId="97" fillId="0" borderId="34" xfId="12" applyFont="1" applyBorder="1" applyAlignment="1">
      <alignment horizontal="center" vertical="center"/>
    </xf>
    <xf numFmtId="0" fontId="97" fillId="0" borderId="16" xfId="12" applyFont="1" applyBorder="1" applyAlignment="1">
      <alignment horizontal="center" vertical="center"/>
    </xf>
    <xf numFmtId="0" fontId="97" fillId="0" borderId="18" xfId="12" applyFont="1" applyBorder="1" applyAlignment="1">
      <alignment horizontal="center" vertical="center"/>
    </xf>
    <xf numFmtId="0" fontId="29" fillId="62" borderId="74" xfId="0" applyFont="1" applyFill="1" applyBorder="1" applyAlignment="1">
      <alignment horizontal="center" vertical="center"/>
    </xf>
    <xf numFmtId="0" fontId="98" fillId="9" borderId="63" xfId="0" applyFont="1" applyFill="1" applyBorder="1" applyAlignment="1">
      <alignment vertical="center" wrapText="1"/>
    </xf>
    <xf numFmtId="0" fontId="97" fillId="0" borderId="77" xfId="0" applyFont="1" applyBorder="1" applyAlignment="1">
      <alignment horizontal="center" vertical="center" wrapText="1"/>
    </xf>
    <xf numFmtId="164" fontId="29" fillId="62" borderId="93" xfId="0" applyNumberFormat="1" applyFont="1" applyFill="1" applyBorder="1" applyAlignment="1">
      <alignment horizontal="center" vertical="center" wrapText="1"/>
    </xf>
    <xf numFmtId="164" fontId="32" fillId="0" borderId="93" xfId="0" applyNumberFormat="1" applyFont="1" applyBorder="1" applyAlignment="1">
      <alignment horizontal="center" vertical="center" wrapText="1"/>
    </xf>
    <xf numFmtId="0" fontId="97" fillId="0" borderId="101" xfId="0" applyFont="1" applyBorder="1" applyAlignment="1">
      <alignment horizontal="center"/>
    </xf>
    <xf numFmtId="9" fontId="60" fillId="72" borderId="96" xfId="0" applyNumberFormat="1" applyFont="1" applyFill="1" applyBorder="1" applyAlignment="1">
      <alignment horizontal="center" vertical="center" wrapText="1"/>
    </xf>
    <xf numFmtId="3" fontId="96" fillId="72" borderId="104" xfId="0" applyNumberFormat="1" applyFont="1" applyFill="1" applyBorder="1" applyAlignment="1">
      <alignment vertical="center" wrapText="1"/>
    </xf>
    <xf numFmtId="10" fontId="29" fillId="0" borderId="88" xfId="17" applyNumberFormat="1" applyFont="1" applyBorder="1" applyAlignment="1">
      <alignment horizontal="center" vertical="center" wrapText="1"/>
    </xf>
    <xf numFmtId="0" fontId="59" fillId="62" borderId="137" xfId="0" applyFont="1" applyFill="1" applyBorder="1" applyAlignment="1">
      <alignment vertical="top" wrapText="1"/>
    </xf>
    <xf numFmtId="0" fontId="59" fillId="62" borderId="74" xfId="0" applyFont="1" applyFill="1" applyBorder="1" applyAlignment="1">
      <alignment vertical="top" wrapText="1"/>
    </xf>
    <xf numFmtId="0" fontId="97" fillId="0" borderId="138" xfId="0" applyFont="1" applyBorder="1" applyAlignment="1">
      <alignment horizontal="center" vertical="center" wrapText="1"/>
    </xf>
    <xf numFmtId="0" fontId="97" fillId="9" borderId="63" xfId="12" applyFont="1" applyFill="1" applyBorder="1" applyAlignment="1">
      <alignment horizontal="justify" vertical="center" wrapText="1"/>
    </xf>
    <xf numFmtId="0" fontId="97" fillId="9" borderId="18" xfId="12" applyFont="1" applyFill="1" applyBorder="1" applyAlignment="1">
      <alignment horizontal="justify" vertical="center" wrapText="1"/>
    </xf>
    <xf numFmtId="0" fontId="97" fillId="0" borderId="49" xfId="12" applyFont="1" applyBorder="1" applyAlignment="1">
      <alignment horizontal="center" vertical="center"/>
    </xf>
    <xf numFmtId="0" fontId="97" fillId="0" borderId="20" xfId="12" applyFont="1" applyBorder="1" applyAlignment="1">
      <alignment horizontal="center" vertical="center"/>
    </xf>
    <xf numFmtId="44" fontId="31" fillId="0" borderId="74" xfId="11" applyFont="1" applyBorder="1" applyAlignment="1">
      <alignment horizontal="right" vertical="center"/>
    </xf>
    <xf numFmtId="0" fontId="97" fillId="0" borderId="117" xfId="12" applyFont="1" applyBorder="1" applyAlignment="1">
      <alignment horizontal="center" vertical="center"/>
    </xf>
    <xf numFmtId="0" fontId="97" fillId="0" borderId="30" xfId="12" applyFont="1" applyBorder="1" applyAlignment="1">
      <alignment horizontal="center" vertical="center"/>
    </xf>
    <xf numFmtId="0" fontId="97" fillId="0" borderId="24" xfId="12" applyFont="1" applyBorder="1" applyAlignment="1">
      <alignment horizontal="center" vertical="center"/>
    </xf>
    <xf numFmtId="3" fontId="97" fillId="0" borderId="139" xfId="0" applyNumberFormat="1" applyFont="1" applyBorder="1" applyAlignment="1">
      <alignment horizontal="center" vertical="center" wrapText="1"/>
    </xf>
    <xf numFmtId="0" fontId="97" fillId="9" borderId="130" xfId="12" applyFont="1" applyFill="1" applyBorder="1" applyAlignment="1">
      <alignment horizontal="justify" vertical="center" wrapText="1"/>
    </xf>
    <xf numFmtId="0" fontId="97" fillId="9" borderId="140" xfId="12" applyFont="1" applyFill="1" applyBorder="1" applyAlignment="1">
      <alignment horizontal="justify" vertical="center" wrapText="1"/>
    </xf>
    <xf numFmtId="0" fontId="97" fillId="0" borderId="130" xfId="12" applyFont="1" applyBorder="1" applyAlignment="1">
      <alignment horizontal="center" vertical="center"/>
    </xf>
    <xf numFmtId="0" fontId="97" fillId="0" borderId="141" xfId="12" applyFont="1" applyBorder="1" applyAlignment="1">
      <alignment horizontal="center" vertical="center"/>
    </xf>
    <xf numFmtId="0" fontId="97" fillId="0" borderId="140" xfId="12" applyFont="1" applyBorder="1" applyAlignment="1">
      <alignment horizontal="center" vertical="center"/>
    </xf>
    <xf numFmtId="10" fontId="29" fillId="0" borderId="93" xfId="17" applyNumberFormat="1" applyFont="1" applyBorder="1" applyAlignment="1">
      <alignment horizontal="center" vertical="center" wrapText="1"/>
    </xf>
    <xf numFmtId="0" fontId="59" fillId="62" borderId="93" xfId="0" applyFont="1" applyFill="1" applyBorder="1" applyAlignment="1">
      <alignment vertical="top" wrapText="1"/>
    </xf>
    <xf numFmtId="3" fontId="97" fillId="0" borderId="121" xfId="0" applyNumberFormat="1" applyFont="1" applyBorder="1" applyAlignment="1">
      <alignment horizontal="center" vertical="center" wrapText="1"/>
    </xf>
    <xf numFmtId="0" fontId="97" fillId="0" borderId="110" xfId="12" applyFont="1" applyBorder="1" applyAlignment="1">
      <alignment horizontal="justify" vertical="center" wrapText="1"/>
    </xf>
    <xf numFmtId="0" fontId="97" fillId="0" borderId="111" xfId="12" applyFont="1" applyBorder="1" applyAlignment="1">
      <alignment horizontal="justify" vertical="center" wrapText="1"/>
    </xf>
    <xf numFmtId="0" fontId="97" fillId="0" borderId="110" xfId="12" applyFont="1" applyBorder="1" applyAlignment="1">
      <alignment horizontal="center" vertical="center"/>
    </xf>
    <xf numFmtId="0" fontId="97" fillId="0" borderId="112" xfId="12" applyFont="1" applyBorder="1" applyAlignment="1">
      <alignment horizontal="center" vertical="center"/>
    </xf>
    <xf numFmtId="0" fontId="97" fillId="0" borderId="111" xfId="12" applyFont="1" applyBorder="1" applyAlignment="1">
      <alignment horizontal="center" vertical="center"/>
    </xf>
    <xf numFmtId="0" fontId="29" fillId="62" borderId="96" xfId="0" applyFont="1" applyFill="1" applyBorder="1" applyAlignment="1">
      <alignment horizontal="center" vertical="center"/>
    </xf>
    <xf numFmtId="0" fontId="59" fillId="62" borderId="96" xfId="0" applyFont="1" applyFill="1" applyBorder="1" applyAlignment="1">
      <alignment vertical="top" wrapText="1"/>
    </xf>
    <xf numFmtId="44" fontId="31" fillId="0" borderId="96" xfId="11" applyFont="1" applyBorder="1" applyAlignment="1">
      <alignment horizontal="right" vertical="center"/>
    </xf>
    <xf numFmtId="0" fontId="98" fillId="9" borderId="142" xfId="0" applyFont="1" applyFill="1" applyBorder="1" applyAlignment="1">
      <alignment horizontal="center" vertical="center" wrapText="1"/>
    </xf>
    <xf numFmtId="0" fontId="97" fillId="0" borderId="7" xfId="0" applyFont="1" applyBorder="1" applyAlignment="1">
      <alignment horizontal="center" vertical="center" wrapText="1"/>
    </xf>
    <xf numFmtId="3" fontId="96" fillId="72" borderId="105" xfId="0" applyNumberFormat="1" applyFont="1" applyFill="1" applyBorder="1" applyAlignment="1">
      <alignment vertical="center" wrapText="1"/>
    </xf>
    <xf numFmtId="0" fontId="97" fillId="62" borderId="110" xfId="12" applyFont="1" applyFill="1" applyBorder="1" applyAlignment="1">
      <alignment horizontal="justify" vertical="center" wrapText="1"/>
    </xf>
    <xf numFmtId="9" fontId="29" fillId="0" borderId="96" xfId="0" applyNumberFormat="1" applyFont="1" applyBorder="1" applyAlignment="1">
      <alignment horizontal="center" vertical="center" wrapText="1"/>
    </xf>
    <xf numFmtId="3" fontId="97" fillId="0" borderId="142" xfId="0" applyNumberFormat="1" applyFont="1" applyBorder="1" applyAlignment="1">
      <alignment horizontal="center" vertical="center" wrapText="1"/>
    </xf>
    <xf numFmtId="0" fontId="59" fillId="62" borderId="88" xfId="0" applyFont="1" applyFill="1" applyBorder="1" applyAlignment="1">
      <alignment vertical="top" wrapText="1"/>
    </xf>
    <xf numFmtId="3" fontId="97" fillId="0" borderId="56" xfId="0" applyNumberFormat="1" applyFont="1" applyBorder="1" applyAlignment="1">
      <alignment horizontal="center" vertical="center" wrapText="1"/>
    </xf>
    <xf numFmtId="0" fontId="32" fillId="71" borderId="83" xfId="0" applyFont="1" applyFill="1" applyBorder="1" applyAlignment="1">
      <alignment vertical="center" wrapText="1"/>
    </xf>
    <xf numFmtId="3" fontId="32" fillId="71" borderId="83" xfId="0" applyNumberFormat="1" applyFont="1" applyFill="1" applyBorder="1" applyAlignment="1">
      <alignment vertical="center" wrapText="1"/>
    </xf>
    <xf numFmtId="1" fontId="32" fillId="71" borderId="83" xfId="0" applyNumberFormat="1" applyFont="1" applyFill="1" applyBorder="1" applyAlignment="1">
      <alignment horizontal="center" vertical="center" wrapText="1"/>
    </xf>
    <xf numFmtId="10" fontId="32" fillId="71" borderId="83" xfId="17" applyNumberFormat="1" applyFont="1" applyFill="1" applyBorder="1" applyAlignment="1">
      <alignment horizontal="center" vertical="center" wrapText="1"/>
    </xf>
    <xf numFmtId="9" fontId="32" fillId="71" borderId="83" xfId="17" applyFont="1" applyFill="1" applyBorder="1" applyAlignment="1">
      <alignment horizontal="center" vertical="center" wrapText="1"/>
    </xf>
    <xf numFmtId="9" fontId="60" fillId="71" borderId="83" xfId="0" applyNumberFormat="1" applyFont="1" applyFill="1" applyBorder="1" applyAlignment="1">
      <alignment horizontal="center" vertical="center" wrapText="1"/>
    </xf>
    <xf numFmtId="0" fontId="32" fillId="71" borderId="83" xfId="0" applyFont="1" applyFill="1" applyBorder="1" applyAlignment="1">
      <alignment horizontal="center" vertical="center" wrapText="1"/>
    </xf>
    <xf numFmtId="3" fontId="32" fillId="71" borderId="83" xfId="0" applyNumberFormat="1" applyFont="1" applyFill="1" applyBorder="1" applyAlignment="1">
      <alignment horizontal="center" vertical="center" wrapText="1"/>
    </xf>
    <xf numFmtId="10" fontId="32" fillId="71" borderId="83" xfId="0" applyNumberFormat="1" applyFont="1" applyFill="1" applyBorder="1" applyAlignment="1">
      <alignment horizontal="center" vertical="center" wrapText="1"/>
    </xf>
    <xf numFmtId="10" fontId="32" fillId="71" borderId="83" xfId="3" applyNumberFormat="1" applyFont="1" applyFill="1" applyBorder="1" applyAlignment="1">
      <alignment horizontal="center" vertical="center" wrapText="1"/>
    </xf>
    <xf numFmtId="3" fontId="32" fillId="71" borderId="83" xfId="0" applyNumberFormat="1" applyFont="1" applyFill="1" applyBorder="1" applyAlignment="1">
      <alignment horizontal="right" vertical="center" wrapText="1"/>
    </xf>
    <xf numFmtId="4" fontId="32" fillId="71" borderId="83" xfId="0" applyNumberFormat="1" applyFont="1" applyFill="1" applyBorder="1" applyAlignment="1">
      <alignment vertical="center" wrapText="1"/>
    </xf>
    <xf numFmtId="10" fontId="32" fillId="71" borderId="83" xfId="0" applyNumberFormat="1" applyFont="1" applyFill="1" applyBorder="1" applyAlignment="1">
      <alignment vertical="center" wrapText="1"/>
    </xf>
    <xf numFmtId="10" fontId="32" fillId="71" borderId="83" xfId="3" applyNumberFormat="1" applyFont="1" applyFill="1" applyBorder="1" applyAlignment="1">
      <alignment vertical="center" wrapText="1"/>
    </xf>
    <xf numFmtId="3" fontId="96" fillId="71" borderId="123" xfId="0" applyNumberFormat="1" applyFont="1" applyFill="1" applyBorder="1" applyAlignment="1">
      <alignment vertical="center" wrapText="1"/>
    </xf>
    <xf numFmtId="3" fontId="96" fillId="71" borderId="139" xfId="0" applyNumberFormat="1" applyFont="1" applyFill="1" applyBorder="1" applyAlignment="1">
      <alignment vertical="center" wrapText="1"/>
    </xf>
    <xf numFmtId="3" fontId="96" fillId="71" borderId="82" xfId="0" applyNumberFormat="1" applyFont="1" applyFill="1" applyBorder="1" applyAlignment="1">
      <alignment vertical="center" wrapText="1"/>
    </xf>
    <xf numFmtId="3" fontId="96" fillId="72" borderId="125" xfId="0" applyNumberFormat="1" applyFont="1" applyFill="1" applyBorder="1" applyAlignment="1">
      <alignment vertical="center" wrapText="1"/>
    </xf>
    <xf numFmtId="3" fontId="96" fillId="72" borderId="143" xfId="0" applyNumberFormat="1" applyFont="1" applyFill="1" applyBorder="1" applyAlignment="1">
      <alignment vertical="center" wrapText="1"/>
    </xf>
    <xf numFmtId="0" fontId="97" fillId="0" borderId="134" xfId="12" applyFont="1" applyBorder="1" applyAlignment="1">
      <alignment horizontal="justify" vertical="center" wrapText="1"/>
    </xf>
    <xf numFmtId="0" fontId="97" fillId="0" borderId="62" xfId="12" applyFont="1" applyBorder="1" applyAlignment="1">
      <alignment horizontal="justify" vertical="center" wrapText="1"/>
    </xf>
    <xf numFmtId="0" fontId="97" fillId="0" borderId="134" xfId="12" applyFont="1" applyBorder="1" applyAlignment="1">
      <alignment horizontal="center" vertical="center"/>
    </xf>
    <xf numFmtId="0" fontId="97" fillId="0" borderId="126" xfId="12" applyFont="1" applyBorder="1" applyAlignment="1">
      <alignment horizontal="center" vertical="center"/>
    </xf>
    <xf numFmtId="0" fontId="97" fillId="0" borderId="62" xfId="12" applyFont="1" applyBorder="1" applyAlignment="1">
      <alignment horizontal="center" vertical="center"/>
    </xf>
    <xf numFmtId="3" fontId="97" fillId="0" borderId="119" xfId="0" applyNumberFormat="1" applyFont="1" applyBorder="1" applyAlignment="1">
      <alignment horizontal="center" vertical="center" wrapText="1"/>
    </xf>
    <xf numFmtId="0" fontId="59" fillId="62" borderId="83" xfId="0" applyFont="1" applyFill="1" applyBorder="1" applyAlignment="1">
      <alignment vertical="top" wrapText="1"/>
    </xf>
    <xf numFmtId="3" fontId="97" fillId="0" borderId="144" xfId="0" applyNumberFormat="1" applyFont="1" applyBorder="1" applyAlignment="1">
      <alignment horizontal="center" vertical="center" wrapText="1"/>
    </xf>
    <xf numFmtId="0" fontId="97" fillId="0" borderId="130" xfId="12" applyFont="1" applyBorder="1" applyAlignment="1">
      <alignment horizontal="justify" vertical="center" wrapText="1"/>
    </xf>
    <xf numFmtId="0" fontId="97" fillId="0" borderId="140" xfId="12" applyFont="1" applyBorder="1" applyAlignment="1">
      <alignment horizontal="justify" vertical="center" wrapText="1"/>
    </xf>
    <xf numFmtId="3" fontId="96" fillId="71" borderId="83" xfId="0" applyNumberFormat="1" applyFont="1" applyFill="1" applyBorder="1" applyAlignment="1">
      <alignment vertical="center" wrapText="1"/>
    </xf>
    <xf numFmtId="0" fontId="97" fillId="0" borderId="12" xfId="12" applyFont="1" applyBorder="1" applyAlignment="1">
      <alignment horizontal="justify" vertical="center" wrapText="1"/>
    </xf>
    <xf numFmtId="0" fontId="97" fillId="0" borderId="112" xfId="12" applyFont="1" applyBorder="1" applyAlignment="1">
      <alignment horizontal="justify" vertical="center" wrapText="1"/>
    </xf>
    <xf numFmtId="0" fontId="95" fillId="73" borderId="83" xfId="0" applyFont="1" applyFill="1" applyBorder="1" applyAlignment="1">
      <alignment vertical="center" wrapText="1"/>
    </xf>
    <xf numFmtId="0" fontId="32" fillId="73" borderId="83" xfId="0" applyFont="1" applyFill="1" applyBorder="1" applyAlignment="1">
      <alignment vertical="center" wrapText="1"/>
    </xf>
    <xf numFmtId="3" fontId="29" fillId="73" borderId="83" xfId="0" applyNumberFormat="1" applyFont="1" applyFill="1" applyBorder="1" applyAlignment="1">
      <alignment vertical="center" wrapText="1"/>
    </xf>
    <xf numFmtId="1" fontId="29" fillId="73" borderId="83" xfId="0" applyNumberFormat="1" applyFont="1" applyFill="1" applyBorder="1" applyAlignment="1">
      <alignment horizontal="center" vertical="center" wrapText="1"/>
    </xf>
    <xf numFmtId="1" fontId="32" fillId="73" borderId="83" xfId="0" applyNumberFormat="1" applyFont="1" applyFill="1" applyBorder="1" applyAlignment="1">
      <alignment horizontal="center" vertical="center" wrapText="1"/>
    </xf>
    <xf numFmtId="10" fontId="32" fillId="73" borderId="83" xfId="3" applyNumberFormat="1" applyFont="1" applyFill="1" applyBorder="1" applyAlignment="1">
      <alignment horizontal="center" vertical="center" wrapText="1"/>
    </xf>
    <xf numFmtId="0" fontId="32" fillId="73" borderId="83" xfId="17" applyNumberFormat="1" applyFont="1" applyFill="1" applyBorder="1" applyAlignment="1">
      <alignment horizontal="center" vertical="center" wrapText="1"/>
    </xf>
    <xf numFmtId="166" fontId="60" fillId="73" borderId="83" xfId="0" applyNumberFormat="1" applyFont="1" applyFill="1" applyBorder="1" applyAlignment="1">
      <alignment horizontal="center" vertical="center" wrapText="1"/>
    </xf>
    <xf numFmtId="0" fontId="29" fillId="73" borderId="83" xfId="0" applyFont="1" applyFill="1" applyBorder="1" applyAlignment="1">
      <alignment vertical="center" wrapText="1"/>
    </xf>
    <xf numFmtId="0" fontId="29" fillId="73" borderId="83" xfId="0" applyFont="1" applyFill="1" applyBorder="1" applyAlignment="1">
      <alignment horizontal="center" vertical="center" wrapText="1"/>
    </xf>
    <xf numFmtId="3" fontId="29" fillId="73" borderId="83" xfId="0" applyNumberFormat="1" applyFont="1" applyFill="1" applyBorder="1" applyAlignment="1">
      <alignment horizontal="center" vertical="center" wrapText="1"/>
    </xf>
    <xf numFmtId="10" fontId="32" fillId="73" borderId="83" xfId="17" applyNumberFormat="1" applyFont="1" applyFill="1" applyBorder="1" applyAlignment="1">
      <alignment horizontal="center" vertical="center" wrapText="1"/>
    </xf>
    <xf numFmtId="10" fontId="32" fillId="73" borderId="83" xfId="0" applyNumberFormat="1" applyFont="1" applyFill="1" applyBorder="1" applyAlignment="1">
      <alignment horizontal="center" vertical="center" wrapText="1"/>
    </xf>
    <xf numFmtId="3" fontId="32" fillId="73" borderId="83" xfId="0" applyNumberFormat="1" applyFont="1" applyFill="1" applyBorder="1" applyAlignment="1">
      <alignment vertical="center" wrapText="1"/>
    </xf>
    <xf numFmtId="4" fontId="32" fillId="73" borderId="83" xfId="0" applyNumberFormat="1" applyFont="1" applyFill="1" applyBorder="1" applyAlignment="1">
      <alignment vertical="center" wrapText="1"/>
    </xf>
    <xf numFmtId="10" fontId="32" fillId="73" borderId="83" xfId="0" applyNumberFormat="1" applyFont="1" applyFill="1" applyBorder="1" applyAlignment="1">
      <alignment vertical="center" wrapText="1"/>
    </xf>
    <xf numFmtId="10" fontId="32" fillId="73" borderId="83" xfId="3" applyNumberFormat="1" applyFont="1" applyFill="1" applyBorder="1" applyAlignment="1">
      <alignment vertical="center" wrapText="1"/>
    </xf>
    <xf numFmtId="3" fontId="96" fillId="73" borderId="123" xfId="0" applyNumberFormat="1" applyFont="1" applyFill="1" applyBorder="1" applyAlignment="1">
      <alignment vertical="center" wrapText="1"/>
    </xf>
    <xf numFmtId="3" fontId="96" fillId="73" borderId="82" xfId="0" applyNumberFormat="1" applyFont="1" applyFill="1" applyBorder="1" applyAlignment="1">
      <alignment vertical="center" wrapText="1"/>
    </xf>
    <xf numFmtId="3" fontId="96" fillId="73" borderId="83" xfId="0" applyNumberFormat="1" applyFont="1" applyFill="1" applyBorder="1" applyAlignment="1">
      <alignment vertical="center" wrapText="1"/>
    </xf>
    <xf numFmtId="0" fontId="32" fillId="74" borderId="74" xfId="0" applyFont="1" applyFill="1" applyBorder="1" applyAlignment="1">
      <alignment vertical="center" wrapText="1"/>
    </xf>
    <xf numFmtId="3" fontId="32" fillId="74" borderId="74" xfId="0" applyNumberFormat="1" applyFont="1" applyFill="1" applyBorder="1" applyAlignment="1">
      <alignment vertical="center" wrapText="1"/>
    </xf>
    <xf numFmtId="1" fontId="32" fillId="74" borderId="74" xfId="0" applyNumberFormat="1" applyFont="1" applyFill="1" applyBorder="1" applyAlignment="1">
      <alignment horizontal="center" vertical="center" wrapText="1"/>
    </xf>
    <xf numFmtId="10" fontId="32" fillId="74" borderId="74" xfId="3" applyNumberFormat="1" applyFont="1" applyFill="1" applyBorder="1" applyAlignment="1">
      <alignment horizontal="center" vertical="center" wrapText="1"/>
    </xf>
    <xf numFmtId="0" fontId="32" fillId="74" borderId="74" xfId="17" applyNumberFormat="1" applyFont="1" applyFill="1" applyBorder="1" applyAlignment="1">
      <alignment horizontal="center" vertical="center" wrapText="1"/>
    </xf>
    <xf numFmtId="9" fontId="60" fillId="74" borderId="74" xfId="0" applyNumberFormat="1" applyFont="1" applyFill="1" applyBorder="1" applyAlignment="1">
      <alignment horizontal="center" vertical="center" wrapText="1"/>
    </xf>
    <xf numFmtId="0" fontId="32" fillId="74" borderId="74" xfId="0" applyFont="1" applyFill="1" applyBorder="1" applyAlignment="1">
      <alignment horizontal="center" vertical="center" wrapText="1"/>
    </xf>
    <xf numFmtId="3" fontId="32" fillId="74" borderId="74" xfId="0" applyNumberFormat="1" applyFont="1" applyFill="1" applyBorder="1" applyAlignment="1">
      <alignment horizontal="center" vertical="center" wrapText="1"/>
    </xf>
    <xf numFmtId="10" fontId="32" fillId="74" borderId="74" xfId="17" applyNumberFormat="1" applyFont="1" applyFill="1" applyBorder="1" applyAlignment="1">
      <alignment horizontal="center" vertical="center" wrapText="1"/>
    </xf>
    <xf numFmtId="10" fontId="32" fillId="74" borderId="74" xfId="0" applyNumberFormat="1" applyFont="1" applyFill="1" applyBorder="1" applyAlignment="1">
      <alignment horizontal="center" vertical="center" wrapText="1"/>
    </xf>
    <xf numFmtId="4" fontId="32" fillId="74" borderId="74" xfId="0" applyNumberFormat="1" applyFont="1" applyFill="1" applyBorder="1" applyAlignment="1">
      <alignment vertical="center" wrapText="1"/>
    </xf>
    <xf numFmtId="10" fontId="32" fillId="74" borderId="74" xfId="0" applyNumberFormat="1" applyFont="1" applyFill="1" applyBorder="1" applyAlignment="1">
      <alignment vertical="center" wrapText="1"/>
    </xf>
    <xf numFmtId="10" fontId="32" fillId="74" borderId="74" xfId="3" applyNumberFormat="1" applyFont="1" applyFill="1" applyBorder="1" applyAlignment="1">
      <alignment vertical="center" wrapText="1"/>
    </xf>
    <xf numFmtId="3" fontId="96" fillId="74" borderId="124" xfId="0" applyNumberFormat="1" applyFont="1" applyFill="1" applyBorder="1" applyAlignment="1">
      <alignment vertical="center" wrapText="1"/>
    </xf>
    <xf numFmtId="3" fontId="96" fillId="74" borderId="77" xfId="0" applyNumberFormat="1" applyFont="1" applyFill="1" applyBorder="1" applyAlignment="1">
      <alignment vertical="center" wrapText="1"/>
    </xf>
    <xf numFmtId="3" fontId="96" fillId="74" borderId="74" xfId="0" applyNumberFormat="1" applyFont="1" applyFill="1" applyBorder="1" applyAlignment="1">
      <alignment vertical="center" wrapText="1"/>
    </xf>
    <xf numFmtId="0" fontId="32" fillId="75" borderId="80" xfId="0" applyFont="1" applyFill="1" applyBorder="1" applyAlignment="1">
      <alignment vertical="center" wrapText="1"/>
    </xf>
    <xf numFmtId="3" fontId="32" fillId="75" borderId="80" xfId="0" applyNumberFormat="1" applyFont="1" applyFill="1" applyBorder="1" applyAlignment="1">
      <alignment vertical="center" wrapText="1"/>
    </xf>
    <xf numFmtId="1" fontId="32" fillId="75" borderId="80" xfId="0" applyNumberFormat="1" applyFont="1" applyFill="1" applyBorder="1" applyAlignment="1">
      <alignment horizontal="center" vertical="center" wrapText="1"/>
    </xf>
    <xf numFmtId="10" fontId="32" fillId="75" borderId="80" xfId="17" applyNumberFormat="1" applyFont="1" applyFill="1" applyBorder="1" applyAlignment="1">
      <alignment horizontal="center" vertical="center" wrapText="1"/>
    </xf>
    <xf numFmtId="10" fontId="32" fillId="75" borderId="80" xfId="0" applyNumberFormat="1" applyFont="1" applyFill="1" applyBorder="1" applyAlignment="1">
      <alignment horizontal="center" vertical="center" wrapText="1"/>
    </xf>
    <xf numFmtId="9" fontId="32" fillId="75" borderId="80" xfId="0" applyNumberFormat="1" applyFont="1" applyFill="1" applyBorder="1" applyAlignment="1">
      <alignment horizontal="center" vertical="center" wrapText="1"/>
    </xf>
    <xf numFmtId="9" fontId="60" fillId="75" borderId="93" xfId="0" applyNumberFormat="1" applyFont="1" applyFill="1" applyBorder="1" applyAlignment="1">
      <alignment horizontal="center" vertical="center" wrapText="1"/>
    </xf>
    <xf numFmtId="0" fontId="32" fillId="75" borderId="80" xfId="0" applyFont="1" applyFill="1" applyBorder="1" applyAlignment="1">
      <alignment horizontal="center" vertical="center" wrapText="1"/>
    </xf>
    <xf numFmtId="3" fontId="32" fillId="75" borderId="80" xfId="0" applyNumberFormat="1" applyFont="1" applyFill="1" applyBorder="1" applyAlignment="1">
      <alignment horizontal="center" vertical="center" wrapText="1"/>
    </xf>
    <xf numFmtId="10" fontId="32" fillId="75" borderId="80" xfId="3" applyNumberFormat="1" applyFont="1" applyFill="1" applyBorder="1" applyAlignment="1">
      <alignment horizontal="center" vertical="center" wrapText="1"/>
    </xf>
    <xf numFmtId="4" fontId="32" fillId="75" borderId="80" xfId="0" applyNumberFormat="1" applyFont="1" applyFill="1" applyBorder="1" applyAlignment="1">
      <alignment vertical="center" wrapText="1"/>
    </xf>
    <xf numFmtId="10" fontId="32" fillId="75" borderId="80" xfId="0" applyNumberFormat="1" applyFont="1" applyFill="1" applyBorder="1" applyAlignment="1">
      <alignment vertical="center" wrapText="1"/>
    </xf>
    <xf numFmtId="10" fontId="32" fillId="75" borderId="80" xfId="3" applyNumberFormat="1" applyFont="1" applyFill="1" applyBorder="1" applyAlignment="1">
      <alignment vertical="center" wrapText="1"/>
    </xf>
    <xf numFmtId="3" fontId="96" fillId="75" borderId="103" xfId="0" applyNumberFormat="1" applyFont="1" applyFill="1" applyBorder="1" applyAlignment="1">
      <alignment vertical="center" wrapText="1"/>
    </xf>
    <xf numFmtId="3" fontId="96" fillId="75" borderId="86" xfId="0" applyNumberFormat="1" applyFont="1" applyFill="1" applyBorder="1" applyAlignment="1">
      <alignment vertical="center" wrapText="1"/>
    </xf>
    <xf numFmtId="3" fontId="96" fillId="75" borderId="93" xfId="0" applyNumberFormat="1" applyFont="1" applyFill="1" applyBorder="1" applyAlignment="1">
      <alignment vertical="center" wrapText="1"/>
    </xf>
    <xf numFmtId="0" fontId="97" fillId="9" borderId="31" xfId="16" applyFont="1" applyFill="1" applyBorder="1" applyAlignment="1">
      <alignment horizontal="justify" vertical="center" wrapText="1"/>
    </xf>
    <xf numFmtId="0" fontId="97" fillId="9" borderId="32" xfId="16" applyFont="1" applyFill="1" applyBorder="1" applyAlignment="1">
      <alignment horizontal="justify" vertical="center" wrapText="1"/>
    </xf>
    <xf numFmtId="0" fontId="97" fillId="0" borderId="31" xfId="16" applyFont="1" applyBorder="1" applyAlignment="1">
      <alignment horizontal="center" vertical="center" wrapText="1"/>
    </xf>
    <xf numFmtId="0" fontId="97" fillId="0" borderId="32" xfId="16" applyFont="1" applyBorder="1" applyAlignment="1">
      <alignment horizontal="center" vertical="center" wrapText="1"/>
    </xf>
    <xf numFmtId="0" fontId="97" fillId="0" borderId="59" xfId="16" applyFont="1" applyBorder="1" applyAlignment="1">
      <alignment horizontal="center" vertical="center" wrapText="1"/>
    </xf>
    <xf numFmtId="3" fontId="59" fillId="62" borderId="83" xfId="0" applyNumberFormat="1" applyFont="1" applyFill="1" applyBorder="1" applyAlignment="1">
      <alignment horizontal="center" vertical="center" wrapText="1"/>
    </xf>
    <xf numFmtId="3" fontId="97" fillId="0" borderId="106" xfId="0" applyNumberFormat="1" applyFont="1" applyBorder="1" applyAlignment="1">
      <alignment horizontal="center" vertical="center" wrapText="1"/>
    </xf>
    <xf numFmtId="0" fontId="97" fillId="0" borderId="38" xfId="16" applyFont="1" applyBorder="1" applyAlignment="1">
      <alignment horizontal="justify" vertical="center" wrapText="1"/>
    </xf>
    <xf numFmtId="0" fontId="97" fillId="0" borderId="36" xfId="16" applyFont="1" applyBorder="1" applyAlignment="1">
      <alignment horizontal="justify" vertical="center" wrapText="1"/>
    </xf>
    <xf numFmtId="0" fontId="97" fillId="0" borderId="38" xfId="16" applyFont="1" applyBorder="1" applyAlignment="1">
      <alignment horizontal="center" vertical="center" wrapText="1"/>
    </xf>
    <xf numFmtId="0" fontId="97" fillId="0" borderId="36" xfId="16" applyFont="1" applyBorder="1" applyAlignment="1">
      <alignment horizontal="center" vertical="center" wrapText="1"/>
    </xf>
    <xf numFmtId="0" fontId="97" fillId="0" borderId="60" xfId="16" applyFont="1" applyBorder="1" applyAlignment="1">
      <alignment horizontal="center" vertical="center" wrapText="1"/>
    </xf>
    <xf numFmtId="4" fontId="32" fillId="0" borderId="93" xfId="0" applyNumberFormat="1" applyFont="1" applyBorder="1" applyAlignment="1">
      <alignment horizontal="right" vertical="center" wrapText="1"/>
    </xf>
    <xf numFmtId="10" fontId="32" fillId="0" borderId="93" xfId="0" applyNumberFormat="1" applyFont="1" applyBorder="1" applyAlignment="1">
      <alignment horizontal="right" vertical="center" wrapText="1"/>
    </xf>
    <xf numFmtId="10" fontId="32" fillId="0" borderId="93" xfId="3" applyNumberFormat="1" applyFont="1" applyBorder="1" applyAlignment="1">
      <alignment horizontal="right" vertical="center" wrapText="1"/>
    </xf>
    <xf numFmtId="3" fontId="97" fillId="0" borderId="94" xfId="0" applyNumberFormat="1" applyFont="1" applyBorder="1" applyAlignment="1">
      <alignment horizontal="center" vertical="center" wrapText="1"/>
    </xf>
    <xf numFmtId="0" fontId="32" fillId="75" borderId="81" xfId="0" applyFont="1" applyFill="1" applyBorder="1" applyAlignment="1">
      <alignment vertical="center" wrapText="1"/>
    </xf>
    <xf numFmtId="3" fontId="32" fillId="75" borderId="81" xfId="0" applyNumberFormat="1" applyFont="1" applyFill="1" applyBorder="1" applyAlignment="1">
      <alignment vertical="center" wrapText="1"/>
    </xf>
    <xf numFmtId="1" fontId="32" fillId="75" borderId="81" xfId="0" applyNumberFormat="1" applyFont="1" applyFill="1" applyBorder="1" applyAlignment="1">
      <alignment horizontal="center" vertical="center" wrapText="1"/>
    </xf>
    <xf numFmtId="10" fontId="32" fillId="75" borderId="81" xfId="17" applyNumberFormat="1" applyFont="1" applyFill="1" applyBorder="1" applyAlignment="1">
      <alignment horizontal="center" vertical="center" wrapText="1"/>
    </xf>
    <xf numFmtId="10" fontId="32" fillId="75" borderId="81" xfId="0" applyNumberFormat="1" applyFont="1" applyFill="1" applyBorder="1" applyAlignment="1">
      <alignment horizontal="center" vertical="center" wrapText="1"/>
    </xf>
    <xf numFmtId="9" fontId="32" fillId="75" borderId="81" xfId="0" applyNumberFormat="1" applyFont="1" applyFill="1" applyBorder="1" applyAlignment="1">
      <alignment horizontal="center" vertical="center" wrapText="1"/>
    </xf>
    <xf numFmtId="9" fontId="60" fillId="75" borderId="81" xfId="0" applyNumberFormat="1" applyFont="1" applyFill="1" applyBorder="1" applyAlignment="1">
      <alignment horizontal="center" vertical="center" wrapText="1"/>
    </xf>
    <xf numFmtId="0" fontId="32" fillId="75" borderId="81" xfId="0" applyFont="1" applyFill="1" applyBorder="1" applyAlignment="1">
      <alignment horizontal="center" vertical="center" wrapText="1"/>
    </xf>
    <xf numFmtId="3" fontId="32" fillId="75" borderId="81" xfId="0" applyNumberFormat="1" applyFont="1" applyFill="1" applyBorder="1" applyAlignment="1">
      <alignment horizontal="center" vertical="center" wrapText="1"/>
    </xf>
    <xf numFmtId="4" fontId="32" fillId="75" borderId="81" xfId="0" applyNumberFormat="1" applyFont="1" applyFill="1" applyBorder="1" applyAlignment="1">
      <alignment vertical="center" wrapText="1"/>
    </xf>
    <xf numFmtId="10" fontId="32" fillId="75" borderId="81" xfId="3" applyNumberFormat="1" applyFont="1" applyFill="1" applyBorder="1" applyAlignment="1">
      <alignment horizontal="center" vertical="center" wrapText="1"/>
    </xf>
    <xf numFmtId="10" fontId="32" fillId="75" borderId="81" xfId="0" applyNumberFormat="1" applyFont="1" applyFill="1" applyBorder="1" applyAlignment="1">
      <alignment vertical="center" wrapText="1"/>
    </xf>
    <xf numFmtId="10" fontId="32" fillId="75" borderId="81" xfId="3" applyNumberFormat="1" applyFont="1" applyFill="1" applyBorder="1" applyAlignment="1">
      <alignment vertical="center" wrapText="1"/>
    </xf>
    <xf numFmtId="3" fontId="96" fillId="75" borderId="105" xfId="0" applyNumberFormat="1" applyFont="1" applyFill="1" applyBorder="1" applyAlignment="1">
      <alignment vertical="center" wrapText="1"/>
    </xf>
    <xf numFmtId="3" fontId="96" fillId="75" borderId="104" xfId="0" applyNumberFormat="1" applyFont="1" applyFill="1" applyBorder="1" applyAlignment="1">
      <alignment vertical="center" wrapText="1"/>
    </xf>
    <xf numFmtId="3" fontId="96" fillId="75" borderId="81" xfId="0" applyNumberFormat="1" applyFont="1" applyFill="1" applyBorder="1" applyAlignment="1">
      <alignment vertical="center" wrapText="1"/>
    </xf>
    <xf numFmtId="0" fontId="97" fillId="9" borderId="110" xfId="16" applyFont="1" applyFill="1" applyBorder="1" applyAlignment="1">
      <alignment horizontal="justify" vertical="center" wrapText="1"/>
    </xf>
    <xf numFmtId="0" fontId="97" fillId="0" borderId="112" xfId="16" applyFont="1" applyBorder="1" applyAlignment="1">
      <alignment horizontal="justify" vertical="center" wrapText="1"/>
    </xf>
    <xf numFmtId="0" fontId="31" fillId="0" borderId="96" xfId="0" applyFont="1" applyBorder="1" applyAlignment="1">
      <alignment horizontal="center" vertical="center" wrapText="1"/>
    </xf>
    <xf numFmtId="0" fontId="97" fillId="0" borderId="110" xfId="16" applyFont="1" applyBorder="1" applyAlignment="1">
      <alignment horizontal="center" vertical="center" wrapText="1"/>
    </xf>
    <xf numFmtId="0" fontId="97" fillId="0" borderId="112" xfId="16" applyFont="1" applyBorder="1" applyAlignment="1">
      <alignment horizontal="center" vertical="center" wrapText="1"/>
    </xf>
    <xf numFmtId="0" fontId="97" fillId="0" borderId="111" xfId="16" applyFont="1" applyBorder="1" applyAlignment="1">
      <alignment horizontal="center" vertical="center" wrapText="1"/>
    </xf>
    <xf numFmtId="0" fontId="59" fillId="0" borderId="96" xfId="0" applyFont="1" applyBorder="1" applyAlignment="1">
      <alignment vertical="top" wrapText="1"/>
    </xf>
    <xf numFmtId="0" fontId="32" fillId="74" borderId="83" xfId="0" applyFont="1" applyFill="1" applyBorder="1" applyAlignment="1">
      <alignment vertical="center" wrapText="1"/>
    </xf>
    <xf numFmtId="3" fontId="32" fillId="74" borderId="83" xfId="0" applyNumberFormat="1" applyFont="1" applyFill="1" applyBorder="1" applyAlignment="1">
      <alignment vertical="center" wrapText="1"/>
    </xf>
    <xf numFmtId="1" fontId="32" fillId="74" borderId="83" xfId="0" applyNumberFormat="1" applyFont="1" applyFill="1" applyBorder="1" applyAlignment="1">
      <alignment horizontal="center" vertical="center" wrapText="1"/>
    </xf>
    <xf numFmtId="0" fontId="32" fillId="74" borderId="83" xfId="17" applyNumberFormat="1" applyFont="1" applyFill="1" applyBorder="1" applyAlignment="1">
      <alignment horizontal="center" vertical="center" wrapText="1"/>
    </xf>
    <xf numFmtId="10" fontId="32" fillId="74" borderId="83" xfId="3" applyNumberFormat="1" applyFont="1" applyFill="1" applyBorder="1" applyAlignment="1">
      <alignment horizontal="center" vertical="center" wrapText="1"/>
    </xf>
    <xf numFmtId="9" fontId="60" fillId="74" borderId="83" xfId="0" applyNumberFormat="1" applyFont="1" applyFill="1" applyBorder="1" applyAlignment="1">
      <alignment horizontal="center" vertical="center" wrapText="1"/>
    </xf>
    <xf numFmtId="0" fontId="32" fillId="74" borderId="83" xfId="0" applyFont="1" applyFill="1" applyBorder="1" applyAlignment="1">
      <alignment horizontal="center" vertical="center" wrapText="1"/>
    </xf>
    <xf numFmtId="3" fontId="32" fillId="74" borderId="83" xfId="0" applyNumberFormat="1" applyFont="1" applyFill="1" applyBorder="1" applyAlignment="1">
      <alignment horizontal="center" vertical="center" wrapText="1"/>
    </xf>
    <xf numFmtId="10" fontId="32" fillId="74" borderId="83" xfId="17" applyNumberFormat="1" applyFont="1" applyFill="1" applyBorder="1" applyAlignment="1">
      <alignment horizontal="center" vertical="center" wrapText="1"/>
    </xf>
    <xf numFmtId="10" fontId="32" fillId="74" borderId="83" xfId="0" applyNumberFormat="1" applyFont="1" applyFill="1" applyBorder="1" applyAlignment="1">
      <alignment horizontal="center" vertical="center" wrapText="1"/>
    </xf>
    <xf numFmtId="4" fontId="32" fillId="74" borderId="83" xfId="0" applyNumberFormat="1" applyFont="1" applyFill="1" applyBorder="1" applyAlignment="1">
      <alignment vertical="center" wrapText="1"/>
    </xf>
    <xf numFmtId="10" fontId="32" fillId="74" borderId="83" xfId="0" applyNumberFormat="1" applyFont="1" applyFill="1" applyBorder="1" applyAlignment="1">
      <alignment vertical="center" wrapText="1"/>
    </xf>
    <xf numFmtId="10" fontId="32" fillId="74" borderId="83" xfId="3" applyNumberFormat="1" applyFont="1" applyFill="1" applyBorder="1" applyAlignment="1">
      <alignment vertical="center" wrapText="1"/>
    </xf>
    <xf numFmtId="3" fontId="96" fillId="74" borderId="123" xfId="0" applyNumberFormat="1" applyFont="1" applyFill="1" applyBorder="1" applyAlignment="1">
      <alignment vertical="center" wrapText="1"/>
    </xf>
    <xf numFmtId="3" fontId="96" fillId="74" borderId="82" xfId="0" applyNumberFormat="1" applyFont="1" applyFill="1" applyBorder="1" applyAlignment="1">
      <alignment vertical="center" wrapText="1"/>
    </xf>
    <xf numFmtId="3" fontId="96" fillId="74" borderId="83" xfId="0" applyNumberFormat="1" applyFont="1" applyFill="1" applyBorder="1" applyAlignment="1">
      <alignment vertical="center" wrapText="1"/>
    </xf>
    <xf numFmtId="9" fontId="60" fillId="75" borderId="80" xfId="0" applyNumberFormat="1" applyFont="1" applyFill="1" applyBorder="1" applyAlignment="1">
      <alignment horizontal="center" vertical="center" wrapText="1"/>
    </xf>
    <xf numFmtId="3" fontId="96" fillId="75" borderId="80" xfId="0" applyNumberFormat="1" applyFont="1" applyFill="1" applyBorder="1" applyAlignment="1">
      <alignment vertical="center" wrapText="1"/>
    </xf>
    <xf numFmtId="0" fontId="97" fillId="0" borderId="110" xfId="16" applyFont="1" applyBorder="1" applyAlignment="1">
      <alignment horizontal="justify" vertical="center" wrapText="1"/>
    </xf>
    <xf numFmtId="9" fontId="60" fillId="75" borderId="96" xfId="0" applyNumberFormat="1" applyFont="1" applyFill="1" applyBorder="1" applyAlignment="1">
      <alignment horizontal="center" vertical="center" wrapText="1"/>
    </xf>
    <xf numFmtId="3" fontId="32" fillId="75" borderId="81" xfId="0" applyNumberFormat="1" applyFont="1" applyFill="1" applyBorder="1" applyAlignment="1">
      <alignment horizontal="right" vertical="center" wrapText="1"/>
    </xf>
    <xf numFmtId="3" fontId="96" fillId="75" borderId="145" xfId="0" applyNumberFormat="1" applyFont="1" applyFill="1" applyBorder="1" applyAlignment="1">
      <alignment vertical="center" wrapText="1"/>
    </xf>
    <xf numFmtId="3" fontId="96" fillId="75" borderId="113" xfId="0" applyNumberFormat="1" applyFont="1" applyFill="1" applyBorder="1" applyAlignment="1">
      <alignment vertical="center" wrapText="1"/>
    </xf>
    <xf numFmtId="3" fontId="96" fillId="75" borderId="96" xfId="0" applyNumberFormat="1" applyFont="1" applyFill="1" applyBorder="1" applyAlignment="1">
      <alignment vertical="center" wrapText="1"/>
    </xf>
    <xf numFmtId="0" fontId="97" fillId="0" borderId="31" xfId="16" applyFont="1" applyBorder="1" applyAlignment="1">
      <alignment horizontal="justify" vertical="center" wrapText="1"/>
    </xf>
    <xf numFmtId="0" fontId="97" fillId="9" borderId="32" xfId="16" applyFont="1" applyFill="1" applyBorder="1" applyAlignment="1">
      <alignment horizontal="justify" vertical="center"/>
    </xf>
    <xf numFmtId="0" fontId="97" fillId="9" borderId="31" xfId="16" applyFont="1" applyFill="1" applyBorder="1" applyAlignment="1">
      <alignment horizontal="center" vertical="center" wrapText="1"/>
    </xf>
    <xf numFmtId="0" fontId="97" fillId="9" borderId="32" xfId="16" applyFont="1" applyFill="1" applyBorder="1" applyAlignment="1">
      <alignment horizontal="center" vertical="center" wrapText="1"/>
    </xf>
    <xf numFmtId="0" fontId="97" fillId="9" borderId="59" xfId="16" applyFont="1" applyFill="1" applyBorder="1" applyAlignment="1">
      <alignment horizontal="center" vertical="center" wrapText="1"/>
    </xf>
    <xf numFmtId="0" fontId="97" fillId="0" borderId="130" xfId="16" applyFont="1" applyBorder="1" applyAlignment="1">
      <alignment horizontal="justify" vertical="center" wrapText="1"/>
    </xf>
    <xf numFmtId="0" fontId="97" fillId="9" borderId="36" xfId="16" applyFont="1" applyFill="1" applyBorder="1" applyAlignment="1">
      <alignment horizontal="justify" vertical="center" wrapText="1"/>
    </xf>
    <xf numFmtId="0" fontId="97" fillId="9" borderId="38" xfId="16" applyFont="1" applyFill="1" applyBorder="1" applyAlignment="1">
      <alignment horizontal="center" vertical="center" wrapText="1"/>
    </xf>
    <xf numFmtId="0" fontId="97" fillId="9" borderId="36" xfId="16" applyFont="1" applyFill="1" applyBorder="1" applyAlignment="1">
      <alignment horizontal="center" vertical="center" wrapText="1"/>
    </xf>
    <xf numFmtId="0" fontId="97" fillId="9" borderId="60" xfId="16" applyFont="1" applyFill="1" applyBorder="1" applyAlignment="1">
      <alignment horizontal="center" vertical="center" wrapText="1"/>
    </xf>
    <xf numFmtId="0" fontId="98" fillId="9" borderId="146" xfId="0" applyFont="1" applyFill="1" applyBorder="1" applyAlignment="1">
      <alignment vertical="center" wrapText="1"/>
    </xf>
    <xf numFmtId="9" fontId="97" fillId="0" borderId="110" xfId="16" applyNumberFormat="1" applyFont="1" applyBorder="1" applyAlignment="1">
      <alignment horizontal="center" vertical="center" wrapText="1"/>
    </xf>
    <xf numFmtId="9" fontId="97" fillId="0" borderId="112" xfId="16" applyNumberFormat="1" applyFont="1" applyBorder="1" applyAlignment="1">
      <alignment horizontal="center" vertical="center" wrapText="1"/>
    </xf>
    <xf numFmtId="9" fontId="97" fillId="0" borderId="111" xfId="16" applyNumberFormat="1" applyFont="1" applyBorder="1" applyAlignment="1">
      <alignment horizontal="center" vertical="center" wrapText="1"/>
    </xf>
    <xf numFmtId="9" fontId="29" fillId="62" borderId="96" xfId="0" applyNumberFormat="1" applyFont="1" applyFill="1" applyBorder="1" applyAlignment="1">
      <alignment horizontal="center" vertical="center"/>
    </xf>
    <xf numFmtId="0" fontId="59" fillId="62" borderId="96" xfId="0" applyFont="1" applyFill="1" applyBorder="1" applyAlignment="1">
      <alignment vertical="center" wrapText="1"/>
    </xf>
    <xf numFmtId="0" fontId="97" fillId="0" borderId="32" xfId="16" applyFont="1" applyBorder="1" applyAlignment="1">
      <alignment horizontal="justify" vertical="center" wrapText="1"/>
    </xf>
    <xf numFmtId="0" fontId="97" fillId="0" borderId="34" xfId="16" applyFont="1" applyBorder="1" applyAlignment="1">
      <alignment horizontal="justify" vertical="center" wrapText="1"/>
    </xf>
    <xf numFmtId="0" fontId="97" fillId="0" borderId="16" xfId="16" applyFont="1" applyBorder="1" applyAlignment="1">
      <alignment horizontal="justify" vertical="center" wrapText="1"/>
    </xf>
    <xf numFmtId="0" fontId="97" fillId="0" borderId="34" xfId="16" applyFont="1" applyBorder="1" applyAlignment="1">
      <alignment horizontal="center" vertical="center" wrapText="1"/>
    </xf>
    <xf numFmtId="0" fontId="97" fillId="0" borderId="16" xfId="16" applyFont="1" applyBorder="1" applyAlignment="1">
      <alignment horizontal="center" vertical="center" wrapText="1"/>
    </xf>
    <xf numFmtId="0" fontId="97" fillId="0" borderId="18" xfId="16" applyFont="1" applyBorder="1" applyAlignment="1">
      <alignment horizontal="center" vertical="center" wrapText="1"/>
    </xf>
    <xf numFmtId="3" fontId="97" fillId="0" borderId="77" xfId="0" applyNumberFormat="1" applyFont="1" applyBorder="1" applyAlignment="1">
      <alignment horizontal="center" vertical="center" wrapText="1"/>
    </xf>
    <xf numFmtId="9" fontId="97" fillId="0" borderId="38" xfId="16" applyNumberFormat="1" applyFont="1" applyBorder="1" applyAlignment="1">
      <alignment horizontal="center" vertical="center" wrapText="1"/>
    </xf>
    <xf numFmtId="9" fontId="97" fillId="0" borderId="36" xfId="16" applyNumberFormat="1" applyFont="1" applyBorder="1" applyAlignment="1">
      <alignment horizontal="center" vertical="center" wrapText="1"/>
    </xf>
    <xf numFmtId="9" fontId="97" fillId="0" borderId="60" xfId="16" applyNumberFormat="1" applyFont="1" applyBorder="1" applyAlignment="1">
      <alignment horizontal="center" vertical="center" wrapText="1"/>
    </xf>
    <xf numFmtId="9" fontId="29" fillId="62" borderId="93" xfId="0" applyNumberFormat="1" applyFont="1" applyFill="1" applyBorder="1" applyAlignment="1">
      <alignment horizontal="center" vertical="center"/>
    </xf>
    <xf numFmtId="9" fontId="29" fillId="0" borderId="93" xfId="3" applyFont="1" applyBorder="1" applyAlignment="1">
      <alignment horizontal="center" vertical="center" wrapText="1"/>
    </xf>
    <xf numFmtId="3" fontId="96" fillId="75" borderId="129" xfId="0" applyNumberFormat="1" applyFont="1" applyFill="1" applyBorder="1" applyAlignment="1">
      <alignment vertical="center" wrapText="1"/>
    </xf>
    <xf numFmtId="0" fontId="59" fillId="62" borderId="88" xfId="0" applyFont="1" applyFill="1" applyBorder="1" applyAlignment="1">
      <alignment vertical="center" wrapText="1"/>
    </xf>
    <xf numFmtId="0" fontId="97" fillId="0" borderId="10" xfId="12" applyFont="1" applyBorder="1" applyAlignment="1">
      <alignment horizontal="justify" vertical="center" wrapText="1"/>
    </xf>
    <xf numFmtId="9" fontId="32" fillId="74" borderId="83" xfId="17" applyFont="1" applyFill="1" applyBorder="1" applyAlignment="1">
      <alignment horizontal="center" vertical="center" wrapText="1"/>
    </xf>
    <xf numFmtId="0" fontId="32" fillId="75" borderId="93" xfId="0" applyFont="1" applyFill="1" applyBorder="1" applyAlignment="1">
      <alignment vertical="center" wrapText="1"/>
    </xf>
    <xf numFmtId="3" fontId="96" fillId="75" borderId="125" xfId="0" applyNumberFormat="1" applyFont="1" applyFill="1" applyBorder="1" applyAlignment="1">
      <alignment vertical="center" wrapText="1"/>
    </xf>
    <xf numFmtId="3" fontId="96" fillId="75" borderId="94" xfId="0" applyNumberFormat="1" applyFont="1" applyFill="1" applyBorder="1" applyAlignment="1">
      <alignment vertical="center" wrapText="1"/>
    </xf>
    <xf numFmtId="9" fontId="97" fillId="0" borderId="31" xfId="16" applyNumberFormat="1" applyFont="1" applyBorder="1" applyAlignment="1">
      <alignment horizontal="center" vertical="center" wrapText="1"/>
    </xf>
    <xf numFmtId="9" fontId="97" fillId="0" borderId="32" xfId="16" applyNumberFormat="1" applyFont="1" applyBorder="1" applyAlignment="1">
      <alignment horizontal="center" vertical="center" wrapText="1"/>
    </xf>
    <xf numFmtId="9" fontId="97" fillId="0" borderId="59" xfId="16" applyNumberFormat="1" applyFont="1" applyBorder="1" applyAlignment="1">
      <alignment horizontal="center" vertical="center" wrapText="1"/>
    </xf>
    <xf numFmtId="0" fontId="97" fillId="0" borderId="35" xfId="0" applyFont="1" applyBorder="1" applyAlignment="1">
      <alignment horizontal="center" vertical="center" wrapText="1"/>
    </xf>
    <xf numFmtId="9" fontId="97" fillId="0" borderId="34" xfId="16" applyNumberFormat="1" applyFont="1" applyBorder="1" applyAlignment="1">
      <alignment horizontal="center" vertical="center" wrapText="1"/>
    </xf>
    <xf numFmtId="9" fontId="97" fillId="0" borderId="16" xfId="16" applyNumberFormat="1" applyFont="1" applyBorder="1" applyAlignment="1">
      <alignment horizontal="center" vertical="center" wrapText="1"/>
    </xf>
    <xf numFmtId="9" fontId="97" fillId="0" borderId="18" xfId="16" applyNumberFormat="1" applyFont="1" applyBorder="1" applyAlignment="1">
      <alignment horizontal="center" vertical="center" wrapText="1"/>
    </xf>
    <xf numFmtId="9" fontId="29" fillId="62" borderId="74" xfId="0" applyNumberFormat="1" applyFont="1" applyFill="1" applyBorder="1" applyAlignment="1">
      <alignment horizontal="center" vertical="center"/>
    </xf>
    <xf numFmtId="0" fontId="59" fillId="62" borderId="74" xfId="0" applyFont="1" applyFill="1" applyBorder="1" applyAlignment="1">
      <alignment vertical="center" wrapText="1"/>
    </xf>
    <xf numFmtId="0" fontId="97" fillId="0" borderId="117" xfId="12" applyFont="1" applyBorder="1" applyAlignment="1">
      <alignment horizontal="justify" vertical="center" wrapText="1"/>
    </xf>
    <xf numFmtId="0" fontId="97" fillId="0" borderId="66" xfId="0" applyFont="1" applyBorder="1" applyAlignment="1">
      <alignment horizontal="center" vertical="center" wrapText="1"/>
    </xf>
    <xf numFmtId="9" fontId="97" fillId="0" borderId="147" xfId="16" applyNumberFormat="1" applyFont="1" applyBorder="1" applyAlignment="1">
      <alignment horizontal="center" vertical="center" wrapText="1"/>
    </xf>
    <xf numFmtId="0" fontId="98" fillId="9" borderId="148" xfId="0" applyFont="1" applyFill="1" applyBorder="1" applyAlignment="1">
      <alignment horizontal="center" vertical="center" wrapText="1"/>
    </xf>
    <xf numFmtId="9" fontId="97" fillId="0" borderId="30" xfId="16" applyNumberFormat="1" applyFont="1" applyBorder="1" applyAlignment="1">
      <alignment horizontal="justify" vertical="center" wrapText="1"/>
    </xf>
    <xf numFmtId="9" fontId="97" fillId="0" borderId="117" xfId="16" applyNumberFormat="1" applyFont="1" applyBorder="1" applyAlignment="1">
      <alignment horizontal="center" vertical="center" wrapText="1"/>
    </xf>
    <xf numFmtId="9" fontId="97" fillId="0" borderId="30" xfId="16" applyNumberFormat="1" applyFont="1" applyBorder="1" applyAlignment="1">
      <alignment horizontal="center" vertical="center" wrapText="1"/>
    </xf>
    <xf numFmtId="9" fontId="97" fillId="0" borderId="24" xfId="16" applyNumberFormat="1" applyFont="1" applyBorder="1" applyAlignment="1">
      <alignment horizontal="center" vertical="center" wrapText="1"/>
    </xf>
    <xf numFmtId="9" fontId="97" fillId="0" borderId="16" xfId="16" applyNumberFormat="1" applyFont="1" applyBorder="1" applyAlignment="1">
      <alignment horizontal="justify" vertical="center" wrapText="1"/>
    </xf>
    <xf numFmtId="0" fontId="97" fillId="0" borderId="117" xfId="16" applyFont="1" applyBorder="1" applyAlignment="1">
      <alignment horizontal="justify" vertical="center" wrapText="1"/>
    </xf>
    <xf numFmtId="0" fontId="97" fillId="0" borderId="30" xfId="16" applyFont="1" applyBorder="1" applyAlignment="1">
      <alignment horizontal="justify" vertical="center" wrapText="1"/>
    </xf>
    <xf numFmtId="0" fontId="97" fillId="0" borderId="141" xfId="16" applyFont="1" applyBorder="1" applyAlignment="1">
      <alignment horizontal="justify" vertical="center" wrapText="1"/>
    </xf>
    <xf numFmtId="0" fontId="97" fillId="0" borderId="141" xfId="0" applyFont="1" applyBorder="1" applyAlignment="1">
      <alignment horizontal="center" vertical="center" wrapText="1"/>
    </xf>
    <xf numFmtId="0" fontId="97" fillId="0" borderId="149" xfId="0" applyFont="1" applyBorder="1" applyAlignment="1">
      <alignment horizontal="center" vertical="center" wrapText="1"/>
    </xf>
    <xf numFmtId="0" fontId="95" fillId="76" borderId="83" xfId="0" applyFont="1" applyFill="1" applyBorder="1" applyAlignment="1">
      <alignment vertical="center" wrapText="1"/>
    </xf>
    <xf numFmtId="0" fontId="32" fillId="76" borderId="83" xfId="0" applyFont="1" applyFill="1" applyBorder="1" applyAlignment="1">
      <alignment vertical="center" wrapText="1"/>
    </xf>
    <xf numFmtId="3" fontId="29" fillId="76" borderId="83" xfId="0" applyNumberFormat="1" applyFont="1" applyFill="1" applyBorder="1" applyAlignment="1">
      <alignment vertical="center" wrapText="1"/>
    </xf>
    <xf numFmtId="1" fontId="29" fillId="76" borderId="83" xfId="0" applyNumberFormat="1" applyFont="1" applyFill="1" applyBorder="1" applyAlignment="1">
      <alignment horizontal="center" vertical="center" wrapText="1"/>
    </xf>
    <xf numFmtId="1" fontId="32" fillId="76" borderId="83" xfId="0" applyNumberFormat="1" applyFont="1" applyFill="1" applyBorder="1" applyAlignment="1">
      <alignment horizontal="center" vertical="center" wrapText="1"/>
    </xf>
    <xf numFmtId="10" fontId="32" fillId="76" borderId="83" xfId="17" applyNumberFormat="1" applyFont="1" applyFill="1" applyBorder="1" applyAlignment="1">
      <alignment horizontal="center" vertical="center" wrapText="1"/>
    </xf>
    <xf numFmtId="0" fontId="32" fillId="76" borderId="83" xfId="17" applyNumberFormat="1" applyFont="1" applyFill="1" applyBorder="1" applyAlignment="1">
      <alignment horizontal="center" vertical="center" wrapText="1"/>
    </xf>
    <xf numFmtId="166" fontId="60" fillId="76" borderId="83" xfId="0" applyNumberFormat="1" applyFont="1" applyFill="1" applyBorder="1" applyAlignment="1">
      <alignment horizontal="center" vertical="center" wrapText="1"/>
    </xf>
    <xf numFmtId="0" fontId="29" fillId="76" borderId="83" xfId="0" applyFont="1" applyFill="1" applyBorder="1" applyAlignment="1">
      <alignment vertical="center" wrapText="1"/>
    </xf>
    <xf numFmtId="0" fontId="29" fillId="76" borderId="83" xfId="0" applyFont="1" applyFill="1" applyBorder="1" applyAlignment="1">
      <alignment horizontal="center" vertical="center" wrapText="1"/>
    </xf>
    <xf numFmtId="3" fontId="29" fillId="76" borderId="83" xfId="0" applyNumberFormat="1" applyFont="1" applyFill="1" applyBorder="1" applyAlignment="1">
      <alignment horizontal="center" vertical="center" wrapText="1"/>
    </xf>
    <xf numFmtId="10" fontId="32" fillId="76" borderId="83" xfId="0" applyNumberFormat="1" applyFont="1" applyFill="1" applyBorder="1" applyAlignment="1">
      <alignment horizontal="center" vertical="center" wrapText="1"/>
    </xf>
    <xf numFmtId="4" fontId="32" fillId="76" borderId="83" xfId="0" applyNumberFormat="1" applyFont="1" applyFill="1" applyBorder="1" applyAlignment="1">
      <alignment vertical="center" wrapText="1"/>
    </xf>
    <xf numFmtId="10" fontId="32" fillId="76" borderId="83" xfId="3" applyNumberFormat="1" applyFont="1" applyFill="1" applyBorder="1" applyAlignment="1">
      <alignment horizontal="center" vertical="center" wrapText="1"/>
    </xf>
    <xf numFmtId="3" fontId="32" fillId="76" borderId="83" xfId="0" applyNumberFormat="1" applyFont="1" applyFill="1" applyBorder="1" applyAlignment="1">
      <alignment vertical="center" wrapText="1"/>
    </xf>
    <xf numFmtId="10" fontId="32" fillId="76" borderId="83" xfId="0" applyNumberFormat="1" applyFont="1" applyFill="1" applyBorder="1" applyAlignment="1">
      <alignment vertical="center" wrapText="1"/>
    </xf>
    <xf numFmtId="10" fontId="32" fillId="76" borderId="83" xfId="3" applyNumberFormat="1" applyFont="1" applyFill="1" applyBorder="1" applyAlignment="1">
      <alignment vertical="center" wrapText="1"/>
    </xf>
    <xf numFmtId="3" fontId="96" fillId="76" borderId="83" xfId="0" applyNumberFormat="1" applyFont="1" applyFill="1" applyBorder="1" applyAlignment="1">
      <alignment vertical="center" wrapText="1"/>
    </xf>
    <xf numFmtId="0" fontId="32" fillId="77" borderId="74" xfId="0" applyFont="1" applyFill="1" applyBorder="1" applyAlignment="1">
      <alignment vertical="center" wrapText="1"/>
    </xf>
    <xf numFmtId="3" fontId="32" fillId="77" borderId="74" xfId="0" applyNumberFormat="1" applyFont="1" applyFill="1" applyBorder="1" applyAlignment="1">
      <alignment vertical="center" wrapText="1"/>
    </xf>
    <xf numFmtId="1" fontId="32" fillId="77" borderId="74" xfId="0" applyNumberFormat="1" applyFont="1" applyFill="1" applyBorder="1" applyAlignment="1">
      <alignment horizontal="center" vertical="center" wrapText="1"/>
    </xf>
    <xf numFmtId="10" fontId="32" fillId="77" borderId="74" xfId="17" applyNumberFormat="1" applyFont="1" applyFill="1" applyBorder="1" applyAlignment="1">
      <alignment horizontal="center" vertical="center" wrapText="1"/>
    </xf>
    <xf numFmtId="9" fontId="32" fillId="77" borderId="74" xfId="17" applyFont="1" applyFill="1" applyBorder="1" applyAlignment="1">
      <alignment horizontal="center" vertical="center" wrapText="1"/>
    </xf>
    <xf numFmtId="9" fontId="60" fillId="77" borderId="74" xfId="0" applyNumberFormat="1" applyFont="1" applyFill="1" applyBorder="1" applyAlignment="1">
      <alignment horizontal="center" vertical="center" wrapText="1"/>
    </xf>
    <xf numFmtId="0" fontId="32" fillId="77" borderId="74" xfId="0" applyFont="1" applyFill="1" applyBorder="1" applyAlignment="1">
      <alignment horizontal="center" vertical="center" wrapText="1"/>
    </xf>
    <xf numFmtId="3" fontId="32" fillId="77" borderId="74" xfId="0" applyNumberFormat="1" applyFont="1" applyFill="1" applyBorder="1" applyAlignment="1">
      <alignment horizontal="center" vertical="center" wrapText="1"/>
    </xf>
    <xf numFmtId="10" fontId="32" fillId="77" borderId="74" xfId="0" applyNumberFormat="1" applyFont="1" applyFill="1" applyBorder="1" applyAlignment="1">
      <alignment horizontal="center" vertical="center" wrapText="1"/>
    </xf>
    <xf numFmtId="10" fontId="32" fillId="77" borderId="74" xfId="3" applyNumberFormat="1" applyFont="1" applyFill="1" applyBorder="1" applyAlignment="1">
      <alignment horizontal="center" vertical="center" wrapText="1"/>
    </xf>
    <xf numFmtId="4" fontId="32" fillId="77" borderId="74" xfId="0" applyNumberFormat="1" applyFont="1" applyFill="1" applyBorder="1" applyAlignment="1">
      <alignment vertical="center" wrapText="1"/>
    </xf>
    <xf numFmtId="10" fontId="32" fillId="77" borderId="74" xfId="0" applyNumberFormat="1" applyFont="1" applyFill="1" applyBorder="1" applyAlignment="1">
      <alignment vertical="center" wrapText="1"/>
    </xf>
    <xf numFmtId="10" fontId="32" fillId="77" borderId="74" xfId="3" applyNumberFormat="1" applyFont="1" applyFill="1" applyBorder="1" applyAlignment="1">
      <alignment vertical="center" wrapText="1"/>
    </xf>
    <xf numFmtId="3" fontId="96" fillId="77" borderId="74" xfId="0" applyNumberFormat="1" applyFont="1" applyFill="1" applyBorder="1" applyAlignment="1">
      <alignment vertical="center" wrapText="1"/>
    </xf>
    <xf numFmtId="0" fontId="32" fillId="78" borderId="80" xfId="0" applyFont="1" applyFill="1" applyBorder="1" applyAlignment="1">
      <alignment vertical="center" wrapText="1"/>
    </xf>
    <xf numFmtId="3" fontId="32" fillId="78" borderId="80" xfId="0" applyNumberFormat="1" applyFont="1" applyFill="1" applyBorder="1" applyAlignment="1">
      <alignment vertical="center" wrapText="1"/>
    </xf>
    <xf numFmtId="1" fontId="32" fillId="78" borderId="80" xfId="0" applyNumberFormat="1" applyFont="1" applyFill="1" applyBorder="1" applyAlignment="1">
      <alignment horizontal="center" vertical="center" wrapText="1"/>
    </xf>
    <xf numFmtId="10" fontId="32" fillId="78" borderId="80" xfId="17" applyNumberFormat="1" applyFont="1" applyFill="1" applyBorder="1" applyAlignment="1">
      <alignment horizontal="center" vertical="center" wrapText="1"/>
    </xf>
    <xf numFmtId="10" fontId="32" fillId="78" borderId="80" xfId="0" applyNumberFormat="1" applyFont="1" applyFill="1" applyBorder="1" applyAlignment="1">
      <alignment horizontal="center" vertical="center" wrapText="1"/>
    </xf>
    <xf numFmtId="9" fontId="32" fillId="78" borderId="80" xfId="0" applyNumberFormat="1" applyFont="1" applyFill="1" applyBorder="1" applyAlignment="1">
      <alignment horizontal="center" vertical="center" wrapText="1"/>
    </xf>
    <xf numFmtId="9" fontId="60" fillId="78" borderId="80" xfId="0" applyNumberFormat="1" applyFont="1" applyFill="1" applyBorder="1" applyAlignment="1">
      <alignment horizontal="center" vertical="center" wrapText="1"/>
    </xf>
    <xf numFmtId="0" fontId="32" fillId="78" borderId="80" xfId="0" applyFont="1" applyFill="1" applyBorder="1" applyAlignment="1">
      <alignment horizontal="center" vertical="center" wrapText="1"/>
    </xf>
    <xf numFmtId="3" fontId="32" fillId="78" borderId="80" xfId="0" applyNumberFormat="1" applyFont="1" applyFill="1" applyBorder="1" applyAlignment="1">
      <alignment horizontal="center" vertical="center" wrapText="1"/>
    </xf>
    <xf numFmtId="10" fontId="32" fillId="78" borderId="80" xfId="3" applyNumberFormat="1" applyFont="1" applyFill="1" applyBorder="1" applyAlignment="1">
      <alignment horizontal="center" vertical="center" wrapText="1"/>
    </xf>
    <xf numFmtId="4" fontId="32" fillId="78" borderId="80" xfId="0" applyNumberFormat="1" applyFont="1" applyFill="1" applyBorder="1" applyAlignment="1">
      <alignment vertical="center" wrapText="1"/>
    </xf>
    <xf numFmtId="10" fontId="32" fillId="78" borderId="80" xfId="0" applyNumberFormat="1" applyFont="1" applyFill="1" applyBorder="1" applyAlignment="1">
      <alignment vertical="center" wrapText="1"/>
    </xf>
    <xf numFmtId="10" fontId="32" fillId="78" borderId="80" xfId="3" applyNumberFormat="1" applyFont="1" applyFill="1" applyBorder="1" applyAlignment="1">
      <alignment vertical="center" wrapText="1"/>
    </xf>
    <xf numFmtId="3" fontId="96" fillId="78" borderId="93" xfId="0" applyNumberFormat="1" applyFont="1" applyFill="1" applyBorder="1" applyAlignment="1">
      <alignment vertical="center" wrapText="1"/>
    </xf>
    <xf numFmtId="0" fontId="97" fillId="0" borderId="126" xfId="14" applyFont="1" applyBorder="1" applyAlignment="1">
      <alignment horizontal="justify" vertical="center" wrapText="1"/>
    </xf>
    <xf numFmtId="0" fontId="97" fillId="0" borderId="150" xfId="14" applyFont="1" applyBorder="1" applyAlignment="1">
      <alignment horizontal="center" vertical="center" wrapText="1"/>
    </xf>
    <xf numFmtId="0" fontId="97" fillId="0" borderId="126" xfId="14" applyFont="1" applyBorder="1" applyAlignment="1">
      <alignment horizontal="center" vertical="center" wrapText="1"/>
    </xf>
    <xf numFmtId="0" fontId="97" fillId="0" borderId="62" xfId="14" applyFont="1" applyBorder="1" applyAlignment="1">
      <alignment horizontal="center" vertical="center" wrapText="1"/>
    </xf>
    <xf numFmtId="0" fontId="97" fillId="9" borderId="117" xfId="16" applyFont="1" applyFill="1" applyBorder="1" applyAlignment="1">
      <alignment horizontal="justify" vertical="center" wrapText="1"/>
    </xf>
    <xf numFmtId="0" fontId="97" fillId="0" borderId="16" xfId="14" applyFont="1" applyBorder="1" applyAlignment="1">
      <alignment horizontal="justify" vertical="center" wrapText="1"/>
    </xf>
    <xf numFmtId="0" fontId="97" fillId="0" borderId="20" xfId="14" applyFont="1" applyBorder="1" applyAlignment="1">
      <alignment horizontal="center" vertical="center" wrapText="1"/>
    </xf>
    <xf numFmtId="0" fontId="97" fillId="0" borderId="16" xfId="14" applyFont="1" applyBorder="1" applyAlignment="1">
      <alignment horizontal="center" vertical="center" wrapText="1"/>
    </xf>
    <xf numFmtId="0" fontId="97" fillId="0" borderId="34" xfId="14" applyFont="1" applyBorder="1" applyAlignment="1">
      <alignment horizontal="justify" vertical="center" wrapText="1"/>
    </xf>
    <xf numFmtId="0" fontId="97" fillId="0" borderId="18" xfId="14" applyFont="1" applyBorder="1" applyAlignment="1">
      <alignment horizontal="center" vertical="center" wrapText="1"/>
    </xf>
    <xf numFmtId="0" fontId="97" fillId="0" borderId="9" xfId="12" applyFont="1" applyBorder="1" applyAlignment="1">
      <alignment horizontal="justify" vertical="center" wrapText="1"/>
    </xf>
    <xf numFmtId="0" fontId="97" fillId="0" borderId="37" xfId="14" applyFont="1" applyBorder="1" applyAlignment="1">
      <alignment horizontal="justify" vertical="center" wrapText="1"/>
    </xf>
    <xf numFmtId="0" fontId="97" fillId="0" borderId="38" xfId="14" applyFont="1" applyBorder="1" applyAlignment="1">
      <alignment horizontal="justify" vertical="center" wrapText="1"/>
    </xf>
    <xf numFmtId="9" fontId="97" fillId="0" borderId="36" xfId="14" applyNumberFormat="1" applyFont="1" applyBorder="1" applyAlignment="1">
      <alignment horizontal="justify" vertical="center" wrapText="1"/>
    </xf>
    <xf numFmtId="0" fontId="97" fillId="0" borderId="56" xfId="14" applyFont="1" applyBorder="1" applyAlignment="1">
      <alignment horizontal="center" vertical="center" wrapText="1"/>
    </xf>
    <xf numFmtId="0" fontId="97" fillId="0" borderId="36" xfId="14" applyFont="1" applyBorder="1" applyAlignment="1">
      <alignment horizontal="center" vertical="center" wrapText="1"/>
    </xf>
    <xf numFmtId="0" fontId="97" fillId="0" borderId="60" xfId="14" applyFont="1" applyBorder="1" applyAlignment="1">
      <alignment horizontal="center" vertical="center" wrapText="1"/>
    </xf>
    <xf numFmtId="3" fontId="59" fillId="62" borderId="93" xfId="0" applyNumberFormat="1" applyFont="1" applyFill="1" applyBorder="1" applyAlignment="1">
      <alignment horizontal="center" vertical="center" wrapText="1"/>
    </xf>
    <xf numFmtId="0" fontId="32" fillId="78" borderId="81" xfId="0" applyFont="1" applyFill="1" applyBorder="1" applyAlignment="1">
      <alignment vertical="center" wrapText="1"/>
    </xf>
    <xf numFmtId="3" fontId="32" fillId="78" borderId="81" xfId="0" applyNumberFormat="1" applyFont="1" applyFill="1" applyBorder="1" applyAlignment="1">
      <alignment vertical="center" wrapText="1"/>
    </xf>
    <xf numFmtId="1" fontId="32" fillId="78" borderId="81" xfId="0" applyNumberFormat="1" applyFont="1" applyFill="1" applyBorder="1" applyAlignment="1">
      <alignment horizontal="center" vertical="center" wrapText="1"/>
    </xf>
    <xf numFmtId="10" fontId="32" fillId="78" borderId="81" xfId="17" applyNumberFormat="1" applyFont="1" applyFill="1" applyBorder="1" applyAlignment="1">
      <alignment horizontal="center" vertical="center" wrapText="1"/>
    </xf>
    <xf numFmtId="10" fontId="32" fillId="78" borderId="81" xfId="0" applyNumberFormat="1" applyFont="1" applyFill="1" applyBorder="1" applyAlignment="1">
      <alignment horizontal="center" vertical="center" wrapText="1"/>
    </xf>
    <xf numFmtId="9" fontId="32" fillId="78" borderId="81" xfId="0" applyNumberFormat="1" applyFont="1" applyFill="1" applyBorder="1" applyAlignment="1">
      <alignment horizontal="center" vertical="center" wrapText="1"/>
    </xf>
    <xf numFmtId="9" fontId="60" fillId="78" borderId="81" xfId="0" applyNumberFormat="1" applyFont="1" applyFill="1" applyBorder="1" applyAlignment="1">
      <alignment horizontal="center" vertical="center" wrapText="1"/>
    </xf>
    <xf numFmtId="0" fontId="32" fillId="78" borderId="81" xfId="0" applyFont="1" applyFill="1" applyBorder="1" applyAlignment="1">
      <alignment horizontal="center" vertical="center" wrapText="1"/>
    </xf>
    <xf numFmtId="3" fontId="32" fillId="78" borderId="81" xfId="0" applyNumberFormat="1" applyFont="1" applyFill="1" applyBorder="1" applyAlignment="1">
      <alignment horizontal="center" vertical="center" wrapText="1"/>
    </xf>
    <xf numFmtId="10" fontId="32" fillId="78" borderId="81" xfId="3" applyNumberFormat="1" applyFont="1" applyFill="1" applyBorder="1" applyAlignment="1">
      <alignment horizontal="center" vertical="center" wrapText="1"/>
    </xf>
    <xf numFmtId="4" fontId="32" fillId="78" borderId="81" xfId="0" applyNumberFormat="1" applyFont="1" applyFill="1" applyBorder="1" applyAlignment="1">
      <alignment vertical="center" wrapText="1"/>
    </xf>
    <xf numFmtId="10" fontId="32" fillId="78" borderId="81" xfId="0" applyNumberFormat="1" applyFont="1" applyFill="1" applyBorder="1" applyAlignment="1">
      <alignment vertical="center" wrapText="1"/>
    </xf>
    <xf numFmtId="10" fontId="32" fillId="78" borderId="81" xfId="3" applyNumberFormat="1" applyFont="1" applyFill="1" applyBorder="1" applyAlignment="1">
      <alignment vertical="center" wrapText="1"/>
    </xf>
    <xf numFmtId="3" fontId="96" fillId="78" borderId="96" xfId="0" applyNumberFormat="1" applyFont="1" applyFill="1" applyBorder="1" applyAlignment="1">
      <alignment vertical="center" wrapText="1"/>
    </xf>
    <xf numFmtId="0" fontId="97" fillId="0" borderId="31" xfId="14" applyFont="1" applyBorder="1" applyAlignment="1">
      <alignment horizontal="justify" vertical="center" wrapText="1"/>
    </xf>
    <xf numFmtId="0" fontId="97" fillId="0" borderId="32" xfId="14" applyFont="1" applyBorder="1" applyAlignment="1">
      <alignment horizontal="justify" vertical="center" wrapText="1"/>
    </xf>
    <xf numFmtId="0" fontId="97" fillId="0" borderId="31" xfId="14" applyFont="1" applyBorder="1" applyAlignment="1">
      <alignment horizontal="center" vertical="center" wrapText="1"/>
    </xf>
    <xf numFmtId="0" fontId="97" fillId="0" borderId="32" xfId="14" applyFont="1" applyBorder="1" applyAlignment="1">
      <alignment horizontal="center" vertical="center" wrapText="1"/>
    </xf>
    <xf numFmtId="0" fontId="97" fillId="0" borderId="59" xfId="14" applyFont="1" applyBorder="1" applyAlignment="1">
      <alignment horizontal="center" vertical="center" wrapText="1"/>
    </xf>
    <xf numFmtId="0" fontId="97" fillId="0" borderId="36" xfId="14" applyFont="1" applyBorder="1" applyAlignment="1">
      <alignment horizontal="justify" vertical="center" wrapText="1"/>
    </xf>
    <xf numFmtId="0" fontId="97" fillId="0" borderId="38" xfId="14" applyFont="1" applyBorder="1" applyAlignment="1">
      <alignment horizontal="center" vertical="center" wrapText="1"/>
    </xf>
    <xf numFmtId="0" fontId="98" fillId="9" borderId="151" xfId="0" applyFont="1" applyFill="1" applyBorder="1" applyAlignment="1">
      <alignment vertical="center" wrapText="1"/>
    </xf>
    <xf numFmtId="0" fontId="32" fillId="77" borderId="83" xfId="0" applyFont="1" applyFill="1" applyBorder="1" applyAlignment="1">
      <alignment vertical="center" wrapText="1"/>
    </xf>
    <xf numFmtId="3" fontId="32" fillId="77" borderId="83" xfId="0" applyNumberFormat="1" applyFont="1" applyFill="1" applyBorder="1" applyAlignment="1">
      <alignment vertical="center" wrapText="1"/>
    </xf>
    <xf numFmtId="1" fontId="32" fillId="77" borderId="83" xfId="0" applyNumberFormat="1" applyFont="1" applyFill="1" applyBorder="1" applyAlignment="1">
      <alignment horizontal="center" vertical="center" wrapText="1"/>
    </xf>
    <xf numFmtId="10" fontId="32" fillId="77" borderId="83" xfId="17" applyNumberFormat="1" applyFont="1" applyFill="1" applyBorder="1" applyAlignment="1">
      <alignment horizontal="center" vertical="center" wrapText="1"/>
    </xf>
    <xf numFmtId="9" fontId="32" fillId="77" borderId="83" xfId="17" applyFont="1" applyFill="1" applyBorder="1" applyAlignment="1">
      <alignment horizontal="center" vertical="center" wrapText="1"/>
    </xf>
    <xf numFmtId="9" fontId="60" fillId="77" borderId="83" xfId="0" applyNumberFormat="1" applyFont="1" applyFill="1" applyBorder="1" applyAlignment="1">
      <alignment horizontal="center" vertical="center" wrapText="1"/>
    </xf>
    <xf numFmtId="0" fontId="32" fillId="77" borderId="83" xfId="0" applyFont="1" applyFill="1" applyBorder="1" applyAlignment="1">
      <alignment horizontal="center" vertical="center" wrapText="1"/>
    </xf>
    <xf numFmtId="3" fontId="32" fillId="77" borderId="83" xfId="0" applyNumberFormat="1" applyFont="1" applyFill="1" applyBorder="1" applyAlignment="1">
      <alignment horizontal="center" vertical="center" wrapText="1"/>
    </xf>
    <xf numFmtId="10" fontId="32" fillId="77" borderId="83" xfId="0" applyNumberFormat="1" applyFont="1" applyFill="1" applyBorder="1" applyAlignment="1">
      <alignment horizontal="center" vertical="center" wrapText="1"/>
    </xf>
    <xf numFmtId="10" fontId="32" fillId="77" borderId="83" xfId="3" applyNumberFormat="1" applyFont="1" applyFill="1" applyBorder="1" applyAlignment="1">
      <alignment horizontal="center" vertical="center" wrapText="1"/>
    </xf>
    <xf numFmtId="4" fontId="32" fillId="77" borderId="83" xfId="0" applyNumberFormat="1" applyFont="1" applyFill="1" applyBorder="1" applyAlignment="1">
      <alignment vertical="center" wrapText="1"/>
    </xf>
    <xf numFmtId="10" fontId="32" fillId="77" borderId="83" xfId="0" applyNumberFormat="1" applyFont="1" applyFill="1" applyBorder="1" applyAlignment="1">
      <alignment vertical="center" wrapText="1"/>
    </xf>
    <xf numFmtId="10" fontId="32" fillId="77" borderId="83" xfId="3" applyNumberFormat="1" applyFont="1" applyFill="1" applyBorder="1" applyAlignment="1">
      <alignment vertical="center" wrapText="1"/>
    </xf>
    <xf numFmtId="3" fontId="96" fillId="77" borderId="83" xfId="0" applyNumberFormat="1" applyFont="1" applyFill="1" applyBorder="1" applyAlignment="1">
      <alignment vertical="center" wrapText="1"/>
    </xf>
    <xf numFmtId="9" fontId="60" fillId="78" borderId="93" xfId="0" applyNumberFormat="1" applyFont="1" applyFill="1" applyBorder="1" applyAlignment="1">
      <alignment horizontal="center" vertical="center" wrapText="1"/>
    </xf>
    <xf numFmtId="0" fontId="97" fillId="0" borderId="55" xfId="14" applyFont="1" applyBorder="1" applyAlignment="1">
      <alignment horizontal="center" vertical="center" wrapText="1"/>
    </xf>
    <xf numFmtId="0" fontId="97" fillId="0" borderId="26" xfId="14" applyFont="1" applyBorder="1" applyAlignment="1">
      <alignment horizontal="center" vertical="center" wrapText="1"/>
    </xf>
    <xf numFmtId="0" fontId="97" fillId="0" borderId="30" xfId="14" applyFont="1" applyBorder="1" applyAlignment="1">
      <alignment horizontal="center" vertical="center" wrapText="1"/>
    </xf>
    <xf numFmtId="0" fontId="97" fillId="0" borderId="24" xfId="14" applyFont="1" applyBorder="1" applyAlignment="1">
      <alignment horizontal="center" vertical="center" wrapText="1"/>
    </xf>
    <xf numFmtId="0" fontId="97" fillId="9" borderId="20" xfId="14" applyFont="1" applyFill="1" applyBorder="1" applyAlignment="1">
      <alignment horizontal="center" vertical="center" wrapText="1"/>
    </xf>
    <xf numFmtId="0" fontId="97" fillId="0" borderId="23" xfId="14" applyFont="1" applyBorder="1" applyAlignment="1">
      <alignment horizontal="center" vertical="center" wrapText="1"/>
    </xf>
    <xf numFmtId="0" fontId="97" fillId="0" borderId="37" xfId="14" applyFont="1" applyBorder="1" applyAlignment="1">
      <alignment horizontal="center" vertical="center" wrapText="1"/>
    </xf>
    <xf numFmtId="0" fontId="97" fillId="0" borderId="21" xfId="14" applyFont="1" applyBorder="1" applyAlignment="1">
      <alignment horizontal="center" vertical="center" wrapText="1"/>
    </xf>
    <xf numFmtId="10" fontId="32" fillId="77" borderId="83" xfId="3" applyNumberFormat="1" applyFont="1" applyFill="1" applyBorder="1" applyAlignment="1">
      <alignment horizontal="right" vertical="center" wrapText="1"/>
    </xf>
    <xf numFmtId="0" fontId="98" fillId="31" borderId="30" xfId="0" applyFont="1" applyFill="1" applyBorder="1" applyAlignment="1">
      <alignment vertical="center" wrapText="1"/>
    </xf>
    <xf numFmtId="10" fontId="32" fillId="78" borderId="80" xfId="3" applyNumberFormat="1" applyFont="1" applyFill="1" applyBorder="1" applyAlignment="1">
      <alignment horizontal="right" vertical="center" wrapText="1"/>
    </xf>
    <xf numFmtId="0" fontId="98" fillId="31" borderId="146" xfId="0" applyFont="1" applyFill="1" applyBorder="1" applyAlignment="1">
      <alignment vertical="center" wrapText="1"/>
    </xf>
    <xf numFmtId="0" fontId="97" fillId="0" borderId="134" xfId="14" applyFont="1" applyBorder="1" applyAlignment="1">
      <alignment horizontal="justify" vertical="center" wrapText="1"/>
    </xf>
    <xf numFmtId="0" fontId="97" fillId="0" borderId="31" xfId="14" applyFont="1" applyBorder="1" applyAlignment="1">
      <alignment horizontal="center" vertical="center"/>
    </xf>
    <xf numFmtId="0" fontId="97" fillId="9" borderId="34" xfId="14" applyFont="1" applyFill="1" applyBorder="1" applyAlignment="1">
      <alignment horizontal="justify" vertical="center" wrapText="1"/>
    </xf>
    <xf numFmtId="0" fontId="97" fillId="0" borderId="34" xfId="14" applyFont="1" applyBorder="1" applyAlignment="1">
      <alignment horizontal="center" vertical="center"/>
    </xf>
    <xf numFmtId="3" fontId="96" fillId="78" borderId="80" xfId="0" applyNumberFormat="1" applyFont="1" applyFill="1" applyBorder="1" applyAlignment="1">
      <alignment vertical="center" wrapText="1"/>
    </xf>
    <xf numFmtId="0" fontId="98" fillId="31" borderId="36" xfId="0" applyFont="1" applyFill="1" applyBorder="1" applyAlignment="1">
      <alignment vertical="center" wrapText="1"/>
    </xf>
    <xf numFmtId="0" fontId="97" fillId="0" borderId="16" xfId="14" applyFont="1" applyBorder="1" applyAlignment="1">
      <alignment horizontal="center" vertical="center"/>
    </xf>
    <xf numFmtId="0" fontId="97" fillId="0" borderId="18" xfId="14" applyFont="1" applyBorder="1" applyAlignment="1">
      <alignment horizontal="center" vertical="center"/>
    </xf>
    <xf numFmtId="0" fontId="32" fillId="77" borderId="83" xfId="17" applyNumberFormat="1" applyFont="1" applyFill="1" applyBorder="1" applyAlignment="1">
      <alignment horizontal="center" vertical="center" wrapText="1"/>
    </xf>
    <xf numFmtId="0" fontId="97" fillId="9" borderId="31" xfId="14" applyFont="1" applyFill="1" applyBorder="1" applyAlignment="1">
      <alignment horizontal="justify" vertical="center" wrapText="1"/>
    </xf>
    <xf numFmtId="0" fontId="97" fillId="9" borderId="32" xfId="14" applyFont="1" applyFill="1" applyBorder="1" applyAlignment="1">
      <alignment horizontal="justify" vertical="center" wrapText="1"/>
    </xf>
    <xf numFmtId="0" fontId="97" fillId="0" borderId="34" xfId="14" applyFont="1" applyBorder="1" applyAlignment="1">
      <alignment horizontal="center" vertical="center" wrapText="1"/>
    </xf>
    <xf numFmtId="0" fontId="97" fillId="9" borderId="38" xfId="14" applyFont="1" applyFill="1" applyBorder="1" applyAlignment="1">
      <alignment horizontal="justify" vertical="center" wrapText="1"/>
    </xf>
    <xf numFmtId="0" fontId="97" fillId="9" borderId="36" xfId="14" applyFont="1" applyFill="1" applyBorder="1" applyAlignment="1">
      <alignment horizontal="justify" vertical="center" wrapText="1"/>
    </xf>
    <xf numFmtId="0" fontId="97" fillId="9" borderId="38" xfId="14" applyFont="1" applyFill="1" applyBorder="1" applyAlignment="1">
      <alignment horizontal="center" vertical="center" wrapText="1"/>
    </xf>
    <xf numFmtId="0" fontId="97" fillId="9" borderId="36" xfId="14" applyFont="1" applyFill="1" applyBorder="1" applyAlignment="1">
      <alignment horizontal="center" vertical="center" wrapText="1"/>
    </xf>
    <xf numFmtId="0" fontId="97" fillId="9" borderId="60" xfId="14" applyFont="1" applyFill="1" applyBorder="1" applyAlignment="1">
      <alignment horizontal="center" vertical="center" wrapText="1"/>
    </xf>
    <xf numFmtId="0" fontId="97" fillId="9" borderId="134" xfId="14" applyFont="1" applyFill="1" applyBorder="1" applyAlignment="1">
      <alignment horizontal="justify" vertical="center" wrapText="1"/>
    </xf>
    <xf numFmtId="0" fontId="97" fillId="9" borderId="126" xfId="14" applyFont="1" applyFill="1" applyBorder="1" applyAlignment="1">
      <alignment horizontal="justify" vertical="center" wrapText="1"/>
    </xf>
    <xf numFmtId="0" fontId="97" fillId="9" borderId="20" xfId="14" applyFont="1" applyFill="1" applyBorder="1" applyAlignment="1">
      <alignment horizontal="justify" vertical="center" wrapText="1"/>
    </xf>
    <xf numFmtId="0" fontId="97" fillId="9" borderId="30" xfId="14" applyFont="1" applyFill="1" applyBorder="1" applyAlignment="1">
      <alignment horizontal="center" vertical="center" wrapText="1"/>
    </xf>
    <xf numFmtId="10" fontId="29" fillId="0" borderId="74" xfId="3" applyNumberFormat="1" applyFont="1" applyFill="1" applyBorder="1" applyAlignment="1">
      <alignment horizontal="right" vertical="center" wrapText="1"/>
    </xf>
    <xf numFmtId="0" fontId="97" fillId="9" borderId="130" xfId="14" applyFont="1" applyFill="1" applyBorder="1" applyAlignment="1">
      <alignment horizontal="center" vertical="center" wrapText="1"/>
    </xf>
    <xf numFmtId="0" fontId="97" fillId="9" borderId="141" xfId="14" applyFont="1" applyFill="1" applyBorder="1" applyAlignment="1">
      <alignment horizontal="center" vertical="center" wrapText="1"/>
    </xf>
    <xf numFmtId="0" fontId="97" fillId="9" borderId="140" xfId="14" applyFont="1" applyFill="1" applyBorder="1" applyAlignment="1">
      <alignment horizontal="center" vertical="center" wrapText="1"/>
    </xf>
    <xf numFmtId="0" fontId="98" fillId="9" borderId="152" xfId="0" applyFont="1" applyFill="1" applyBorder="1" applyAlignment="1">
      <alignment horizontal="center" vertical="center" wrapText="1"/>
    </xf>
    <xf numFmtId="0" fontId="95" fillId="79" borderId="83" xfId="0" applyFont="1" applyFill="1" applyBorder="1" applyAlignment="1">
      <alignment vertical="center" wrapText="1"/>
    </xf>
    <xf numFmtId="0" fontId="32" fillId="79" borderId="83" xfId="0" applyFont="1" applyFill="1" applyBorder="1" applyAlignment="1">
      <alignment vertical="center" wrapText="1"/>
    </xf>
    <xf numFmtId="3" fontId="29" fillId="79" borderId="83" xfId="0" applyNumberFormat="1" applyFont="1" applyFill="1" applyBorder="1" applyAlignment="1">
      <alignment vertical="center" wrapText="1"/>
    </xf>
    <xf numFmtId="1" fontId="29" fillId="79" borderId="83" xfId="0" applyNumberFormat="1" applyFont="1" applyFill="1" applyBorder="1" applyAlignment="1">
      <alignment horizontal="center" vertical="center" wrapText="1"/>
    </xf>
    <xf numFmtId="1" fontId="32" fillId="79" borderId="83" xfId="0" applyNumberFormat="1" applyFont="1" applyFill="1" applyBorder="1" applyAlignment="1">
      <alignment horizontal="center" vertical="center" wrapText="1"/>
    </xf>
    <xf numFmtId="0" fontId="32" fillId="79" borderId="83" xfId="17" applyNumberFormat="1" applyFont="1" applyFill="1" applyBorder="1" applyAlignment="1">
      <alignment horizontal="center" vertical="center" wrapText="1"/>
    </xf>
    <xf numFmtId="10" fontId="32" fillId="79" borderId="83" xfId="3" applyNumberFormat="1" applyFont="1" applyFill="1" applyBorder="1" applyAlignment="1">
      <alignment horizontal="center" vertical="center" wrapText="1"/>
    </xf>
    <xf numFmtId="166" fontId="60" fillId="79" borderId="83" xfId="0" applyNumberFormat="1" applyFont="1" applyFill="1" applyBorder="1" applyAlignment="1">
      <alignment horizontal="center" vertical="center" wrapText="1"/>
    </xf>
    <xf numFmtId="0" fontId="29" fillId="79" borderId="83" xfId="0" applyFont="1" applyFill="1" applyBorder="1" applyAlignment="1">
      <alignment vertical="center" wrapText="1"/>
    </xf>
    <xf numFmtId="0" fontId="29" fillId="79" borderId="83" xfId="0" applyFont="1" applyFill="1" applyBorder="1" applyAlignment="1">
      <alignment horizontal="center" vertical="center" wrapText="1"/>
    </xf>
    <xf numFmtId="3" fontId="29" fillId="79" borderId="83" xfId="0" applyNumberFormat="1" applyFont="1" applyFill="1" applyBorder="1" applyAlignment="1">
      <alignment horizontal="center" vertical="center" wrapText="1"/>
    </xf>
    <xf numFmtId="10" fontId="32" fillId="79" borderId="83" xfId="17" applyNumberFormat="1" applyFont="1" applyFill="1" applyBorder="1" applyAlignment="1">
      <alignment horizontal="center" vertical="center" wrapText="1"/>
    </xf>
    <xf numFmtId="10" fontId="32" fillId="79" borderId="83" xfId="0" applyNumberFormat="1" applyFont="1" applyFill="1" applyBorder="1" applyAlignment="1">
      <alignment horizontal="center" vertical="center" wrapText="1"/>
    </xf>
    <xf numFmtId="4" fontId="32" fillId="79" borderId="83" xfId="0" applyNumberFormat="1" applyFont="1" applyFill="1" applyBorder="1" applyAlignment="1">
      <alignment vertical="center" wrapText="1"/>
    </xf>
    <xf numFmtId="10" fontId="32" fillId="79" borderId="83" xfId="0" applyNumberFormat="1" applyFont="1" applyFill="1" applyBorder="1" applyAlignment="1">
      <alignment vertical="center" wrapText="1"/>
    </xf>
    <xf numFmtId="10" fontId="32" fillId="79" borderId="83" xfId="3" applyNumberFormat="1" applyFont="1" applyFill="1" applyBorder="1" applyAlignment="1">
      <alignment vertical="center" wrapText="1"/>
    </xf>
    <xf numFmtId="3" fontId="32" fillId="79" borderId="83" xfId="0" applyNumberFormat="1" applyFont="1" applyFill="1" applyBorder="1" applyAlignment="1">
      <alignment vertical="center" wrapText="1"/>
    </xf>
    <xf numFmtId="3" fontId="96" fillId="79" borderId="83" xfId="0" applyNumberFormat="1" applyFont="1" applyFill="1" applyBorder="1" applyAlignment="1">
      <alignment vertical="center" wrapText="1"/>
    </xf>
    <xf numFmtId="0" fontId="32" fillId="80" borderId="74" xfId="0" applyFont="1" applyFill="1" applyBorder="1" applyAlignment="1">
      <alignment vertical="center" wrapText="1"/>
    </xf>
    <xf numFmtId="3" fontId="32" fillId="80" borderId="74" xfId="0" applyNumberFormat="1" applyFont="1" applyFill="1" applyBorder="1" applyAlignment="1">
      <alignment vertical="center" wrapText="1"/>
    </xf>
    <xf numFmtId="1" fontId="32" fillId="80" borderId="74" xfId="0" applyNumberFormat="1" applyFont="1" applyFill="1" applyBorder="1" applyAlignment="1">
      <alignment horizontal="center" vertical="center" wrapText="1"/>
    </xf>
    <xf numFmtId="10" fontId="32" fillId="80" borderId="74" xfId="17" applyNumberFormat="1" applyFont="1" applyFill="1" applyBorder="1" applyAlignment="1">
      <alignment horizontal="center" vertical="center" wrapText="1"/>
    </xf>
    <xf numFmtId="9" fontId="32" fillId="80" borderId="74" xfId="17" applyFont="1" applyFill="1" applyBorder="1" applyAlignment="1">
      <alignment horizontal="center" vertical="center" wrapText="1"/>
    </xf>
    <xf numFmtId="9" fontId="60" fillId="80" borderId="74" xfId="0" applyNumberFormat="1" applyFont="1" applyFill="1" applyBorder="1" applyAlignment="1">
      <alignment horizontal="center" vertical="center" wrapText="1"/>
    </xf>
    <xf numFmtId="0" fontId="32" fillId="80" borderId="74" xfId="0" applyFont="1" applyFill="1" applyBorder="1" applyAlignment="1">
      <alignment horizontal="center" vertical="center" wrapText="1"/>
    </xf>
    <xf numFmtId="3" fontId="32" fillId="80" borderId="74" xfId="0" applyNumberFormat="1" applyFont="1" applyFill="1" applyBorder="1" applyAlignment="1">
      <alignment horizontal="center" vertical="center" wrapText="1"/>
    </xf>
    <xf numFmtId="10" fontId="32" fillId="80" borderId="74" xfId="0" applyNumberFormat="1" applyFont="1" applyFill="1" applyBorder="1" applyAlignment="1">
      <alignment horizontal="center" vertical="center" wrapText="1"/>
    </xf>
    <xf numFmtId="174" fontId="32" fillId="80" borderId="74" xfId="0" applyNumberFormat="1" applyFont="1" applyFill="1" applyBorder="1" applyAlignment="1">
      <alignment vertical="center" wrapText="1"/>
    </xf>
    <xf numFmtId="10" fontId="32" fillId="80" borderId="74" xfId="3" applyNumberFormat="1" applyFont="1" applyFill="1" applyBorder="1" applyAlignment="1">
      <alignment horizontal="center" vertical="center" wrapText="1"/>
    </xf>
    <xf numFmtId="4" fontId="32" fillId="80" borderId="74" xfId="0" applyNumberFormat="1" applyFont="1" applyFill="1" applyBorder="1" applyAlignment="1">
      <alignment vertical="center" wrapText="1"/>
    </xf>
    <xf numFmtId="10" fontId="32" fillId="80" borderId="74" xfId="0" applyNumberFormat="1" applyFont="1" applyFill="1" applyBorder="1" applyAlignment="1">
      <alignment vertical="center" wrapText="1"/>
    </xf>
    <xf numFmtId="10" fontId="32" fillId="80" borderId="74" xfId="3" applyNumberFormat="1" applyFont="1" applyFill="1" applyBorder="1" applyAlignment="1">
      <alignment vertical="center" wrapText="1"/>
    </xf>
    <xf numFmtId="3" fontId="96" fillId="80" borderId="74" xfId="0" applyNumberFormat="1" applyFont="1" applyFill="1" applyBorder="1" applyAlignment="1">
      <alignment vertical="center" wrapText="1"/>
    </xf>
    <xf numFmtId="0" fontId="32" fillId="81" borderId="80" xfId="0" applyFont="1" applyFill="1" applyBorder="1" applyAlignment="1">
      <alignment vertical="center" wrapText="1"/>
    </xf>
    <xf numFmtId="3" fontId="32" fillId="81" borderId="80" xfId="0" applyNumberFormat="1" applyFont="1" applyFill="1" applyBorder="1" applyAlignment="1">
      <alignment vertical="center" wrapText="1"/>
    </xf>
    <xf numFmtId="1" fontId="32" fillId="81" borderId="80" xfId="0" applyNumberFormat="1" applyFont="1" applyFill="1" applyBorder="1" applyAlignment="1">
      <alignment horizontal="center" vertical="center" wrapText="1"/>
    </xf>
    <xf numFmtId="10" fontId="32" fillId="81" borderId="80" xfId="17" applyNumberFormat="1" applyFont="1" applyFill="1" applyBorder="1" applyAlignment="1">
      <alignment horizontal="center" vertical="center" wrapText="1"/>
    </xf>
    <xf numFmtId="10" fontId="32" fillId="81" borderId="80" xfId="0" applyNumberFormat="1" applyFont="1" applyFill="1" applyBorder="1" applyAlignment="1">
      <alignment horizontal="center" vertical="center" wrapText="1"/>
    </xf>
    <xf numFmtId="9" fontId="32" fillId="81" borderId="80" xfId="0" applyNumberFormat="1" applyFont="1" applyFill="1" applyBorder="1" applyAlignment="1">
      <alignment horizontal="center" vertical="center" wrapText="1"/>
    </xf>
    <xf numFmtId="9" fontId="60" fillId="81" borderId="80" xfId="0" applyNumberFormat="1" applyFont="1" applyFill="1" applyBorder="1" applyAlignment="1">
      <alignment horizontal="center" vertical="center" wrapText="1"/>
    </xf>
    <xf numFmtId="0" fontId="32" fillId="81" borderId="80" xfId="0" applyFont="1" applyFill="1" applyBorder="1" applyAlignment="1">
      <alignment horizontal="center" vertical="center" wrapText="1"/>
    </xf>
    <xf numFmtId="3" fontId="32" fillId="81" borderId="80" xfId="0" applyNumberFormat="1" applyFont="1" applyFill="1" applyBorder="1" applyAlignment="1">
      <alignment horizontal="center" vertical="center" wrapText="1"/>
    </xf>
    <xf numFmtId="10" fontId="32" fillId="81" borderId="80" xfId="3" applyNumberFormat="1" applyFont="1" applyFill="1" applyBorder="1" applyAlignment="1">
      <alignment horizontal="center" vertical="center" wrapText="1"/>
    </xf>
    <xf numFmtId="4" fontId="32" fillId="81" borderId="80" xfId="0" applyNumberFormat="1" applyFont="1" applyFill="1" applyBorder="1" applyAlignment="1">
      <alignment vertical="center" wrapText="1"/>
    </xf>
    <xf numFmtId="10" fontId="32" fillId="81" borderId="80" xfId="0" applyNumberFormat="1" applyFont="1" applyFill="1" applyBorder="1" applyAlignment="1">
      <alignment vertical="center" wrapText="1"/>
    </xf>
    <xf numFmtId="10" fontId="32" fillId="81" borderId="80" xfId="3" applyNumberFormat="1" applyFont="1" applyFill="1" applyBorder="1" applyAlignment="1">
      <alignment vertical="center" wrapText="1"/>
    </xf>
    <xf numFmtId="3" fontId="96" fillId="81" borderId="80" xfId="0" applyNumberFormat="1" applyFont="1" applyFill="1" applyBorder="1" applyAlignment="1">
      <alignment vertical="center" wrapText="1"/>
    </xf>
    <xf numFmtId="0" fontId="97" fillId="0" borderId="32" xfId="16" applyFont="1" applyBorder="1" applyAlignment="1">
      <alignment horizontal="justify" vertical="center"/>
    </xf>
    <xf numFmtId="9" fontId="97" fillId="0" borderId="31" xfId="17" applyFont="1" applyFill="1" applyBorder="1" applyAlignment="1">
      <alignment horizontal="center" vertical="center"/>
    </xf>
    <xf numFmtId="9" fontId="97" fillId="0" borderId="32" xfId="17" applyFont="1" applyFill="1" applyBorder="1" applyAlignment="1">
      <alignment horizontal="center" vertical="center"/>
    </xf>
    <xf numFmtId="1" fontId="97" fillId="0" borderId="32" xfId="17" applyNumberFormat="1" applyFont="1" applyFill="1" applyBorder="1" applyAlignment="1">
      <alignment horizontal="center" vertical="center"/>
    </xf>
    <xf numFmtId="1" fontId="97" fillId="0" borderId="59" xfId="7" applyNumberFormat="1" applyFont="1" applyFill="1" applyBorder="1" applyAlignment="1">
      <alignment horizontal="center" vertical="center"/>
    </xf>
    <xf numFmtId="9" fontId="29" fillId="62" borderId="88" xfId="3" applyFont="1" applyFill="1" applyBorder="1" applyAlignment="1">
      <alignment horizontal="center" vertical="center"/>
    </xf>
    <xf numFmtId="3" fontId="32" fillId="0" borderId="131" xfId="0" applyNumberFormat="1" applyFont="1" applyBorder="1" applyAlignment="1">
      <alignment vertical="center" wrapText="1"/>
    </xf>
    <xf numFmtId="0" fontId="97" fillId="0" borderId="16" xfId="16" applyFont="1" applyBorder="1" applyAlignment="1">
      <alignment horizontal="justify" vertical="center"/>
    </xf>
    <xf numFmtId="1" fontId="97" fillId="0" borderId="34" xfId="17" applyNumberFormat="1" applyFont="1" applyFill="1" applyBorder="1" applyAlignment="1">
      <alignment horizontal="center" vertical="center"/>
    </xf>
    <xf numFmtId="9" fontId="97" fillId="0" borderId="16" xfId="17" applyFont="1" applyFill="1" applyBorder="1" applyAlignment="1">
      <alignment horizontal="center" vertical="center"/>
    </xf>
    <xf numFmtId="9" fontId="97" fillId="0" borderId="18" xfId="17" applyFont="1" applyFill="1" applyBorder="1" applyAlignment="1">
      <alignment horizontal="center" vertical="center"/>
    </xf>
    <xf numFmtId="3" fontId="32" fillId="0" borderId="75" xfId="0" applyNumberFormat="1" applyFont="1" applyBorder="1" applyAlignment="1">
      <alignment vertical="center" wrapText="1"/>
    </xf>
    <xf numFmtId="9" fontId="97" fillId="0" borderId="34" xfId="17" applyFont="1" applyFill="1" applyBorder="1" applyAlignment="1">
      <alignment horizontal="center" vertical="center"/>
    </xf>
    <xf numFmtId="175" fontId="97" fillId="0" borderId="16" xfId="7" applyNumberFormat="1" applyFont="1" applyFill="1" applyBorder="1" applyAlignment="1">
      <alignment horizontal="center" vertical="center"/>
    </xf>
    <xf numFmtId="175" fontId="97" fillId="0" borderId="18" xfId="7" applyNumberFormat="1" applyFont="1" applyFill="1" applyBorder="1" applyAlignment="1">
      <alignment horizontal="center" vertical="center"/>
    </xf>
    <xf numFmtId="175" fontId="97" fillId="0" borderId="34" xfId="7" applyNumberFormat="1" applyFont="1" applyFill="1" applyBorder="1" applyAlignment="1">
      <alignment horizontal="center" vertical="center"/>
    </xf>
    <xf numFmtId="1" fontId="97" fillId="0" borderId="16" xfId="17" applyNumberFormat="1" applyFont="1" applyFill="1" applyBorder="1" applyAlignment="1">
      <alignment horizontal="center" vertical="center"/>
    </xf>
    <xf numFmtId="1" fontId="97" fillId="0" borderId="18" xfId="17" applyNumberFormat="1" applyFont="1" applyFill="1" applyBorder="1" applyAlignment="1">
      <alignment horizontal="center" vertical="center"/>
    </xf>
    <xf numFmtId="1" fontId="97" fillId="0" borderId="130" xfId="17" applyNumberFormat="1" applyFont="1" applyFill="1" applyBorder="1" applyAlignment="1">
      <alignment horizontal="center" vertical="center"/>
    </xf>
    <xf numFmtId="1" fontId="97" fillId="0" borderId="141" xfId="17" applyNumberFormat="1" applyFont="1" applyFill="1" applyBorder="1" applyAlignment="1">
      <alignment horizontal="center" vertical="center"/>
    </xf>
    <xf numFmtId="1" fontId="97" fillId="0" borderId="140" xfId="17" applyNumberFormat="1" applyFont="1" applyFill="1" applyBorder="1" applyAlignment="1">
      <alignment horizontal="center" vertical="center"/>
    </xf>
    <xf numFmtId="3" fontId="97" fillId="0" borderId="102" xfId="0" applyNumberFormat="1" applyFont="1" applyBorder="1" applyAlignment="1">
      <alignment horizontal="center" vertical="center" wrapText="1"/>
    </xf>
    <xf numFmtId="3" fontId="97" fillId="0" borderId="101" xfId="0" applyNumberFormat="1" applyFont="1" applyBorder="1" applyAlignment="1">
      <alignment horizontal="center" vertical="center" wrapText="1"/>
    </xf>
    <xf numFmtId="0" fontId="32" fillId="80" borderId="83" xfId="0" applyFont="1" applyFill="1" applyBorder="1" applyAlignment="1">
      <alignment vertical="center" wrapText="1"/>
    </xf>
    <xf numFmtId="3" fontId="32" fillId="80" borderId="83" xfId="0" applyNumberFormat="1" applyFont="1" applyFill="1" applyBorder="1" applyAlignment="1">
      <alignment vertical="center" wrapText="1"/>
    </xf>
    <xf numFmtId="1" fontId="32" fillId="80" borderId="83" xfId="0" applyNumberFormat="1" applyFont="1" applyFill="1" applyBorder="1" applyAlignment="1">
      <alignment horizontal="center" vertical="center" wrapText="1"/>
    </xf>
    <xf numFmtId="10" fontId="32" fillId="80" borderId="83" xfId="17" applyNumberFormat="1" applyFont="1" applyFill="1" applyBorder="1" applyAlignment="1">
      <alignment horizontal="center" vertical="center" wrapText="1"/>
    </xf>
    <xf numFmtId="9" fontId="60" fillId="80" borderId="83" xfId="0" applyNumberFormat="1" applyFont="1" applyFill="1" applyBorder="1" applyAlignment="1">
      <alignment horizontal="center" vertical="center" wrapText="1"/>
    </xf>
    <xf numFmtId="0" fontId="32" fillId="80" borderId="83" xfId="0" applyFont="1" applyFill="1" applyBorder="1" applyAlignment="1">
      <alignment horizontal="center" vertical="center" wrapText="1"/>
    </xf>
    <xf numFmtId="3" fontId="32" fillId="80" borderId="83" xfId="0" applyNumberFormat="1" applyFont="1" applyFill="1" applyBorder="1" applyAlignment="1">
      <alignment horizontal="center" vertical="center" wrapText="1"/>
    </xf>
    <xf numFmtId="10" fontId="32" fillId="80" borderId="83" xfId="0" applyNumberFormat="1" applyFont="1" applyFill="1" applyBorder="1" applyAlignment="1">
      <alignment horizontal="center" vertical="center" wrapText="1"/>
    </xf>
    <xf numFmtId="10" fontId="32" fillId="80" borderId="83" xfId="3" applyNumberFormat="1" applyFont="1" applyFill="1" applyBorder="1" applyAlignment="1">
      <alignment horizontal="center" vertical="center" wrapText="1"/>
    </xf>
    <xf numFmtId="4" fontId="32" fillId="80" borderId="83" xfId="0" applyNumberFormat="1" applyFont="1" applyFill="1" applyBorder="1" applyAlignment="1">
      <alignment vertical="center" wrapText="1"/>
    </xf>
    <xf numFmtId="10" fontId="32" fillId="80" borderId="83" xfId="0" applyNumberFormat="1" applyFont="1" applyFill="1" applyBorder="1" applyAlignment="1">
      <alignment vertical="center" wrapText="1"/>
    </xf>
    <xf numFmtId="10" fontId="32" fillId="80" borderId="83" xfId="3" applyNumberFormat="1" applyFont="1" applyFill="1" applyBorder="1" applyAlignment="1">
      <alignment vertical="center" wrapText="1"/>
    </xf>
    <xf numFmtId="3" fontId="96" fillId="80" borderId="83" xfId="0" applyNumberFormat="1" applyFont="1" applyFill="1" applyBorder="1" applyAlignment="1">
      <alignment vertical="center" wrapText="1"/>
    </xf>
    <xf numFmtId="9" fontId="97" fillId="0" borderId="59" xfId="17" applyFont="1" applyFill="1" applyBorder="1" applyAlignment="1">
      <alignment horizontal="center" vertical="center"/>
    </xf>
    <xf numFmtId="1" fontId="97" fillId="0" borderId="38" xfId="17" applyNumberFormat="1" applyFont="1" applyFill="1" applyBorder="1" applyAlignment="1">
      <alignment horizontal="center" vertical="center"/>
    </xf>
    <xf numFmtId="1" fontId="97" fillId="0" borderId="36" xfId="17" applyNumberFormat="1" applyFont="1" applyFill="1" applyBorder="1" applyAlignment="1">
      <alignment horizontal="center" vertical="center"/>
    </xf>
    <xf numFmtId="1" fontId="97" fillId="0" borderId="60" xfId="17" applyNumberFormat="1" applyFont="1" applyFill="1" applyBorder="1" applyAlignment="1">
      <alignment horizontal="center" vertical="center"/>
    </xf>
    <xf numFmtId="0" fontId="32" fillId="81" borderId="81" xfId="0" applyFont="1" applyFill="1" applyBorder="1" applyAlignment="1">
      <alignment vertical="center" wrapText="1"/>
    </xf>
    <xf numFmtId="3" fontId="32" fillId="81" borderId="81" xfId="0" applyNumberFormat="1" applyFont="1" applyFill="1" applyBorder="1" applyAlignment="1">
      <alignment vertical="center" wrapText="1"/>
    </xf>
    <xf numFmtId="1" fontId="32" fillId="81" borderId="81" xfId="0" applyNumberFormat="1" applyFont="1" applyFill="1" applyBorder="1" applyAlignment="1">
      <alignment horizontal="center" vertical="center" wrapText="1"/>
    </xf>
    <xf numFmtId="10" fontId="32" fillId="81" borderId="81" xfId="17" applyNumberFormat="1" applyFont="1" applyFill="1" applyBorder="1" applyAlignment="1">
      <alignment horizontal="center" vertical="center" wrapText="1"/>
    </xf>
    <xf numFmtId="9" fontId="60" fillId="81" borderId="81" xfId="0" applyNumberFormat="1" applyFont="1" applyFill="1" applyBorder="1" applyAlignment="1">
      <alignment horizontal="center" vertical="center" wrapText="1"/>
    </xf>
    <xf numFmtId="0" fontId="32" fillId="81" borderId="81" xfId="0" applyFont="1" applyFill="1" applyBorder="1" applyAlignment="1">
      <alignment horizontal="center" vertical="center" wrapText="1"/>
    </xf>
    <xf numFmtId="3" fontId="32" fillId="81" borderId="81" xfId="0" applyNumberFormat="1" applyFont="1" applyFill="1" applyBorder="1" applyAlignment="1">
      <alignment horizontal="center" vertical="center" wrapText="1"/>
    </xf>
    <xf numFmtId="10" fontId="32" fillId="81" borderId="81" xfId="0" applyNumberFormat="1" applyFont="1" applyFill="1" applyBorder="1" applyAlignment="1">
      <alignment horizontal="center" vertical="center" wrapText="1"/>
    </xf>
    <xf numFmtId="10" fontId="32" fillId="81" borderId="81" xfId="3" applyNumberFormat="1" applyFont="1" applyFill="1" applyBorder="1" applyAlignment="1">
      <alignment horizontal="center" vertical="center" wrapText="1"/>
    </xf>
    <xf numFmtId="4" fontId="32" fillId="81" borderId="81" xfId="0" applyNumberFormat="1" applyFont="1" applyFill="1" applyBorder="1" applyAlignment="1">
      <alignment vertical="center" wrapText="1"/>
    </xf>
    <xf numFmtId="10" fontId="32" fillId="81" borderId="81" xfId="0" applyNumberFormat="1" applyFont="1" applyFill="1" applyBorder="1" applyAlignment="1">
      <alignment vertical="center" wrapText="1"/>
    </xf>
    <xf numFmtId="10" fontId="32" fillId="81" borderId="81" xfId="3" applyNumberFormat="1" applyFont="1" applyFill="1" applyBorder="1" applyAlignment="1">
      <alignment vertical="center" wrapText="1"/>
    </xf>
    <xf numFmtId="3" fontId="96" fillId="81" borderId="81" xfId="0" applyNumberFormat="1" applyFont="1" applyFill="1" applyBorder="1" applyAlignment="1">
      <alignment vertical="center" wrapText="1"/>
    </xf>
    <xf numFmtId="1" fontId="97" fillId="0" borderId="31" xfId="17" applyNumberFormat="1" applyFont="1" applyFill="1" applyBorder="1" applyAlignment="1">
      <alignment horizontal="center" vertical="center"/>
    </xf>
    <xf numFmtId="1" fontId="97" fillId="0" borderId="59" xfId="17" applyNumberFormat="1" applyFont="1" applyFill="1" applyBorder="1" applyAlignment="1">
      <alignment horizontal="center" vertical="center"/>
    </xf>
    <xf numFmtId="3" fontId="97" fillId="0" borderId="97" xfId="0" applyNumberFormat="1" applyFont="1" applyBorder="1" applyAlignment="1">
      <alignment horizontal="center" vertical="center" wrapText="1"/>
    </xf>
    <xf numFmtId="0" fontId="59" fillId="0" borderId="74" xfId="0" applyFont="1" applyBorder="1" applyAlignment="1">
      <alignment vertical="top" wrapText="1"/>
    </xf>
    <xf numFmtId="3" fontId="59" fillId="62" borderId="115" xfId="0" applyNumberFormat="1" applyFont="1" applyFill="1" applyBorder="1" applyAlignment="1">
      <alignment horizontal="center" vertical="center" wrapText="1"/>
    </xf>
    <xf numFmtId="3" fontId="32" fillId="0" borderId="108" xfId="0" applyNumberFormat="1" applyFont="1" applyBorder="1" applyAlignment="1">
      <alignment vertical="center" wrapText="1"/>
    </xf>
    <xf numFmtId="3" fontId="96" fillId="81" borderId="96" xfId="0" applyNumberFormat="1" applyFont="1" applyFill="1" applyBorder="1" applyAlignment="1">
      <alignment vertical="center" wrapText="1"/>
    </xf>
    <xf numFmtId="0" fontId="59" fillId="0" borderId="88" xfId="0" applyFont="1" applyBorder="1" applyAlignment="1">
      <alignment vertical="top" wrapText="1"/>
    </xf>
    <xf numFmtId="0" fontId="59" fillId="0" borderId="74" xfId="0" applyFont="1" applyBorder="1" applyAlignment="1">
      <alignment vertical="center" wrapText="1"/>
    </xf>
    <xf numFmtId="9" fontId="97" fillId="0" borderId="38" xfId="17" applyFont="1" applyFill="1" applyBorder="1" applyAlignment="1">
      <alignment horizontal="center" vertical="center"/>
    </xf>
    <xf numFmtId="9" fontId="97" fillId="0" borderId="36" xfId="17" applyFont="1" applyFill="1" applyBorder="1" applyAlignment="1">
      <alignment horizontal="center" vertical="center"/>
    </xf>
    <xf numFmtId="9" fontId="97" fillId="0" borderId="60" xfId="17" applyFont="1" applyFill="1" applyBorder="1" applyAlignment="1">
      <alignment horizontal="center" vertical="center"/>
    </xf>
    <xf numFmtId="10" fontId="29" fillId="62" borderId="93" xfId="0" applyNumberFormat="1" applyFont="1" applyFill="1" applyBorder="1" applyAlignment="1">
      <alignment horizontal="center" vertical="center"/>
    </xf>
    <xf numFmtId="3" fontId="32" fillId="81" borderId="118" xfId="0" applyNumberFormat="1" applyFont="1" applyFill="1" applyBorder="1" applyAlignment="1">
      <alignment vertical="center" wrapText="1"/>
    </xf>
    <xf numFmtId="3" fontId="96" fillId="81" borderId="110" xfId="0" applyNumberFormat="1" applyFont="1" applyFill="1" applyBorder="1" applyAlignment="1">
      <alignment vertical="center" wrapText="1"/>
    </xf>
    <xf numFmtId="3" fontId="96" fillId="81" borderId="104" xfId="0" applyNumberFormat="1" applyFont="1" applyFill="1" applyBorder="1" applyAlignment="1">
      <alignment vertical="center" wrapText="1"/>
    </xf>
    <xf numFmtId="0" fontId="97" fillId="0" borderId="63" xfId="16" applyFont="1" applyBorder="1" applyAlignment="1">
      <alignment vertical="center" wrapText="1"/>
    </xf>
    <xf numFmtId="0" fontId="98" fillId="9" borderId="20" xfId="0" applyFont="1" applyFill="1" applyBorder="1" applyAlignment="1">
      <alignment horizontal="center" wrapText="1"/>
    </xf>
    <xf numFmtId="3" fontId="32" fillId="80" borderId="78" xfId="0" applyNumberFormat="1" applyFont="1" applyFill="1" applyBorder="1" applyAlignment="1">
      <alignment vertical="center" wrapText="1"/>
    </xf>
    <xf numFmtId="3" fontId="96" fillId="80" borderId="109" xfId="0" applyNumberFormat="1" applyFont="1" applyFill="1" applyBorder="1" applyAlignment="1">
      <alignment vertical="center" wrapText="1"/>
    </xf>
    <xf numFmtId="3" fontId="96" fillId="80" borderId="82" xfId="0" applyNumberFormat="1" applyFont="1" applyFill="1" applyBorder="1" applyAlignment="1">
      <alignment vertical="center" wrapText="1"/>
    </xf>
    <xf numFmtId="9" fontId="60" fillId="81" borderId="93" xfId="0" applyNumberFormat="1" applyFont="1" applyFill="1" applyBorder="1" applyAlignment="1">
      <alignment horizontal="center" vertical="center" wrapText="1"/>
    </xf>
    <xf numFmtId="3" fontId="32" fillId="81" borderId="84" xfId="0" applyNumberFormat="1" applyFont="1" applyFill="1" applyBorder="1" applyAlignment="1">
      <alignment vertical="center" wrapText="1"/>
    </xf>
    <xf numFmtId="3" fontId="96" fillId="81" borderId="102" xfId="0" applyNumberFormat="1" applyFont="1" applyFill="1" applyBorder="1" applyAlignment="1">
      <alignment vertical="center" wrapText="1"/>
    </xf>
    <xf numFmtId="3" fontId="96" fillId="81" borderId="86" xfId="0" applyNumberFormat="1" applyFont="1" applyFill="1" applyBorder="1" applyAlignment="1">
      <alignment vertical="center" wrapText="1"/>
    </xf>
    <xf numFmtId="9" fontId="97" fillId="0" borderId="36" xfId="16" applyNumberFormat="1" applyFont="1" applyBorder="1" applyAlignment="1">
      <alignment horizontal="center" vertical="center"/>
    </xf>
    <xf numFmtId="9" fontId="97" fillId="0" borderId="60" xfId="16" applyNumberFormat="1" applyFont="1" applyBorder="1" applyAlignment="1">
      <alignment horizontal="center" vertical="center"/>
    </xf>
    <xf numFmtId="0" fontId="97" fillId="9" borderId="110" xfId="16" applyFont="1" applyFill="1" applyBorder="1" applyAlignment="1">
      <alignment horizontal="center" vertical="center"/>
    </xf>
    <xf numFmtId="0" fontId="97" fillId="9" borderId="112" xfId="16" applyFont="1" applyFill="1" applyBorder="1" applyAlignment="1">
      <alignment horizontal="center" vertical="center" wrapText="1"/>
    </xf>
    <xf numFmtId="0" fontId="97" fillId="9" borderId="111" xfId="16" applyFont="1" applyFill="1" applyBorder="1" applyAlignment="1">
      <alignment horizontal="center" vertical="center" wrapText="1"/>
    </xf>
    <xf numFmtId="3" fontId="97" fillId="0" borderId="96" xfId="0" applyNumberFormat="1" applyFont="1" applyBorder="1" applyAlignment="1">
      <alignment horizontal="center" vertical="center" wrapText="1"/>
    </xf>
    <xf numFmtId="3" fontId="97" fillId="80" borderId="83" xfId="0" applyNumberFormat="1" applyFont="1" applyFill="1" applyBorder="1" applyAlignment="1">
      <alignment vertical="center" wrapText="1"/>
    </xf>
    <xf numFmtId="3" fontId="97" fillId="81" borderId="80" xfId="0" applyNumberFormat="1" applyFont="1" applyFill="1" applyBorder="1" applyAlignment="1">
      <alignment horizontal="center" vertical="center" wrapText="1"/>
    </xf>
    <xf numFmtId="0" fontId="97" fillId="9" borderId="31" xfId="16" applyFont="1" applyFill="1" applyBorder="1" applyAlignment="1">
      <alignment horizontal="center" vertical="center"/>
    </xf>
    <xf numFmtId="3" fontId="97" fillId="0" borderId="88" xfId="0" applyNumberFormat="1" applyFont="1" applyBorder="1" applyAlignment="1">
      <alignment horizontal="center" vertical="center" wrapText="1"/>
    </xf>
    <xf numFmtId="0" fontId="97" fillId="9" borderId="34" xfId="16" applyFont="1" applyFill="1" applyBorder="1" applyAlignment="1">
      <alignment horizontal="justify" vertical="center" wrapText="1"/>
    </xf>
    <xf numFmtId="0" fontId="97" fillId="9" borderId="16" xfId="16" applyFont="1" applyFill="1" applyBorder="1" applyAlignment="1">
      <alignment horizontal="justify" vertical="center" wrapText="1"/>
    </xf>
    <xf numFmtId="9" fontId="97" fillId="9" borderId="34" xfId="17" applyFont="1" applyFill="1" applyBorder="1" applyAlignment="1">
      <alignment horizontal="center" vertical="center"/>
    </xf>
    <xf numFmtId="9" fontId="97" fillId="9" borderId="16" xfId="17" applyFont="1" applyFill="1" applyBorder="1" applyAlignment="1">
      <alignment horizontal="center" vertical="center"/>
    </xf>
    <xf numFmtId="9" fontId="97" fillId="9" borderId="18" xfId="17" applyFont="1" applyFill="1" applyBorder="1" applyAlignment="1">
      <alignment horizontal="center" vertical="center"/>
    </xf>
    <xf numFmtId="3" fontId="97" fillId="0" borderId="74" xfId="0" applyNumberFormat="1" applyFont="1" applyBorder="1" applyAlignment="1">
      <alignment horizontal="center" vertical="center" wrapText="1"/>
    </xf>
    <xf numFmtId="0" fontId="97" fillId="9" borderId="38" xfId="16" applyFont="1" applyFill="1" applyBorder="1" applyAlignment="1">
      <alignment horizontal="justify" vertical="center" wrapText="1"/>
    </xf>
    <xf numFmtId="9" fontId="97" fillId="9" borderId="38" xfId="17" applyFont="1" applyFill="1" applyBorder="1" applyAlignment="1">
      <alignment horizontal="center" vertical="center"/>
    </xf>
    <xf numFmtId="9" fontId="97" fillId="9" borderId="36" xfId="17" applyFont="1" applyFill="1" applyBorder="1" applyAlignment="1">
      <alignment horizontal="center" vertical="center"/>
    </xf>
    <xf numFmtId="9" fontId="97" fillId="9" borderId="60" xfId="17" applyFont="1" applyFill="1" applyBorder="1" applyAlignment="1">
      <alignment horizontal="center" vertical="center"/>
    </xf>
    <xf numFmtId="3" fontId="97" fillId="0" borderId="93" xfId="0" applyNumberFormat="1" applyFont="1" applyBorder="1" applyAlignment="1">
      <alignment horizontal="center" vertical="center" wrapText="1"/>
    </xf>
    <xf numFmtId="3" fontId="97" fillId="80" borderId="83" xfId="0" applyNumberFormat="1" applyFont="1" applyFill="1" applyBorder="1" applyAlignment="1">
      <alignment horizontal="center" vertical="center" wrapText="1"/>
    </xf>
    <xf numFmtId="9" fontId="97" fillId="0" borderId="32" xfId="16" applyNumberFormat="1" applyFont="1" applyBorder="1" applyAlignment="1">
      <alignment horizontal="center" vertical="center"/>
    </xf>
    <xf numFmtId="9" fontId="97" fillId="0" borderId="59" xfId="16" applyNumberFormat="1" applyFont="1" applyBorder="1" applyAlignment="1">
      <alignment horizontal="center" vertical="center"/>
    </xf>
    <xf numFmtId="3" fontId="97" fillId="81" borderId="81" xfId="0" applyNumberFormat="1" applyFont="1" applyFill="1" applyBorder="1" applyAlignment="1">
      <alignment horizontal="center" vertical="center" wrapText="1"/>
    </xf>
    <xf numFmtId="9" fontId="97" fillId="0" borderId="112" xfId="16" applyNumberFormat="1" applyFont="1" applyBorder="1" applyAlignment="1">
      <alignment horizontal="center" vertical="center"/>
    </xf>
    <xf numFmtId="9" fontId="97" fillId="0" borderId="111" xfId="16" applyNumberFormat="1" applyFont="1" applyBorder="1" applyAlignment="1">
      <alignment horizontal="center" vertical="center"/>
    </xf>
    <xf numFmtId="10" fontId="29" fillId="62" borderId="96" xfId="0" applyNumberFormat="1" applyFont="1" applyFill="1" applyBorder="1" applyAlignment="1">
      <alignment horizontal="center" vertical="center"/>
    </xf>
    <xf numFmtId="3" fontId="96" fillId="81" borderId="93" xfId="0" applyNumberFormat="1" applyFont="1" applyFill="1" applyBorder="1" applyAlignment="1">
      <alignment vertical="center" wrapText="1"/>
    </xf>
    <xf numFmtId="0" fontId="98" fillId="9" borderId="26" xfId="0" applyFont="1" applyFill="1" applyBorder="1" applyAlignment="1">
      <alignment vertical="center" wrapText="1"/>
    </xf>
    <xf numFmtId="9" fontId="97" fillId="0" borderId="34" xfId="3" applyFont="1" applyBorder="1" applyAlignment="1">
      <alignment horizontal="center" vertical="center" wrapText="1"/>
    </xf>
    <xf numFmtId="9" fontId="97" fillId="0" borderId="16" xfId="3" applyFont="1" applyBorder="1" applyAlignment="1">
      <alignment horizontal="center" vertical="center" wrapText="1"/>
    </xf>
    <xf numFmtId="9" fontId="97" fillId="0" borderId="18" xfId="3" applyFont="1" applyBorder="1" applyAlignment="1">
      <alignment horizontal="center" vertical="center" wrapText="1"/>
    </xf>
    <xf numFmtId="10" fontId="29" fillId="62" borderId="74" xfId="0" applyNumberFormat="1" applyFont="1" applyFill="1" applyBorder="1" applyAlignment="1">
      <alignment horizontal="center" vertical="center"/>
    </xf>
    <xf numFmtId="0" fontId="97" fillId="0" borderId="117" xfId="16" applyFont="1" applyBorder="1" applyAlignment="1">
      <alignment horizontal="center" vertical="center" wrapText="1"/>
    </xf>
    <xf numFmtId="0" fontId="97" fillId="0" borderId="24" xfId="16" applyFont="1" applyBorder="1" applyAlignment="1">
      <alignment horizontal="center" vertical="center" wrapText="1"/>
    </xf>
    <xf numFmtId="9" fontId="97" fillId="9" borderId="117" xfId="3" applyFont="1" applyFill="1" applyBorder="1" applyAlignment="1">
      <alignment horizontal="center" vertical="center" wrapText="1"/>
    </xf>
    <xf numFmtId="9" fontId="97" fillId="9" borderId="30" xfId="3" applyFont="1" applyFill="1" applyBorder="1" applyAlignment="1">
      <alignment horizontal="center" vertical="center" wrapText="1"/>
    </xf>
    <xf numFmtId="9" fontId="97" fillId="9" borderId="24" xfId="3" applyFont="1" applyFill="1" applyBorder="1" applyAlignment="1">
      <alignment horizontal="center" vertical="center" wrapText="1"/>
    </xf>
    <xf numFmtId="0" fontId="97" fillId="9" borderId="91" xfId="0" applyFont="1" applyFill="1" applyBorder="1" applyAlignment="1">
      <alignment horizontal="center" vertical="center" wrapText="1"/>
    </xf>
    <xf numFmtId="0" fontId="97" fillId="9" borderId="34" xfId="16" applyFont="1" applyFill="1" applyBorder="1" applyAlignment="1">
      <alignment horizontal="center" vertical="center" wrapText="1"/>
    </xf>
    <xf numFmtId="0" fontId="97" fillId="9" borderId="16" xfId="16" applyFont="1" applyFill="1" applyBorder="1" applyAlignment="1">
      <alignment horizontal="center" vertical="center" wrapText="1"/>
    </xf>
    <xf numFmtId="0" fontId="97" fillId="9" borderId="18" xfId="16" applyFont="1" applyFill="1" applyBorder="1" applyAlignment="1">
      <alignment horizontal="center" vertical="center" wrapText="1"/>
    </xf>
    <xf numFmtId="0" fontId="98" fillId="9" borderId="135" xfId="0" applyFont="1" applyFill="1" applyBorder="1" applyAlignment="1">
      <alignment vertical="center" wrapText="1"/>
    </xf>
    <xf numFmtId="9" fontId="97" fillId="0" borderId="31" xfId="17" applyFont="1" applyBorder="1" applyAlignment="1">
      <alignment horizontal="center" vertical="center" wrapText="1"/>
    </xf>
    <xf numFmtId="9" fontId="97" fillId="0" borderId="32" xfId="17" applyFont="1" applyBorder="1" applyAlignment="1">
      <alignment horizontal="center" vertical="center" wrapText="1"/>
    </xf>
    <xf numFmtId="9" fontId="97" fillId="0" borderId="59" xfId="17" applyFont="1" applyBorder="1" applyAlignment="1">
      <alignment horizontal="center" vertical="center" wrapText="1"/>
    </xf>
    <xf numFmtId="3" fontId="97" fillId="0" borderId="32" xfId="0" applyNumberFormat="1" applyFont="1" applyBorder="1" applyAlignment="1">
      <alignment horizontal="center" vertical="center" wrapText="1"/>
    </xf>
    <xf numFmtId="9" fontId="97" fillId="0" borderId="34" xfId="17" applyFont="1" applyBorder="1" applyAlignment="1">
      <alignment horizontal="center" vertical="center" wrapText="1"/>
    </xf>
    <xf numFmtId="9" fontId="97" fillId="0" borderId="16" xfId="17" applyFont="1" applyBorder="1" applyAlignment="1">
      <alignment horizontal="center" vertical="center" wrapText="1"/>
    </xf>
    <xf numFmtId="9" fontId="97" fillId="0" borderId="18" xfId="17" applyFont="1" applyBorder="1" applyAlignment="1">
      <alignment horizontal="center" vertical="center" wrapText="1"/>
    </xf>
    <xf numFmtId="3" fontId="97" fillId="0" borderId="16" xfId="0" applyNumberFormat="1" applyFont="1" applyBorder="1" applyAlignment="1">
      <alignment horizontal="center" vertical="center" wrapText="1"/>
    </xf>
    <xf numFmtId="9" fontId="97" fillId="0" borderId="117" xfId="17" applyFont="1" applyBorder="1" applyAlignment="1">
      <alignment horizontal="center" vertical="center" wrapText="1"/>
    </xf>
    <xf numFmtId="9" fontId="97" fillId="0" borderId="30" xfId="17" applyFont="1" applyBorder="1" applyAlignment="1">
      <alignment horizontal="center" vertical="center" wrapText="1"/>
    </xf>
    <xf numFmtId="9" fontId="97" fillId="0" borderId="24" xfId="17" applyFont="1" applyBorder="1" applyAlignment="1">
      <alignment horizontal="center" vertical="center" wrapText="1"/>
    </xf>
    <xf numFmtId="0" fontId="97" fillId="0" borderId="38" xfId="16" applyFont="1" applyBorder="1" applyAlignment="1">
      <alignment horizontal="center" vertical="center"/>
    </xf>
    <xf numFmtId="0" fontId="97" fillId="0" borderId="36" xfId="16" applyFont="1" applyBorder="1" applyAlignment="1">
      <alignment horizontal="center" vertical="center"/>
    </xf>
    <xf numFmtId="0" fontId="97" fillId="0" borderId="60" xfId="16" applyFont="1" applyBorder="1" applyAlignment="1">
      <alignment horizontal="center" vertical="center"/>
    </xf>
    <xf numFmtId="0" fontId="59" fillId="62" borderId="93" xfId="0" applyFont="1" applyFill="1" applyBorder="1" applyAlignment="1">
      <alignment vertical="center" wrapText="1"/>
    </xf>
    <xf numFmtId="3" fontId="97" fillId="0" borderId="36" xfId="0" applyNumberFormat="1" applyFont="1" applyBorder="1" applyAlignment="1">
      <alignment horizontal="center" vertical="center" wrapText="1"/>
    </xf>
    <xf numFmtId="3" fontId="32" fillId="81" borderId="81" xfId="0" applyNumberFormat="1" applyFont="1" applyFill="1" applyBorder="1" applyAlignment="1">
      <alignment horizontal="right" vertical="center" wrapText="1"/>
    </xf>
    <xf numFmtId="4" fontId="32" fillId="81" borderId="81" xfId="0" applyNumberFormat="1" applyFont="1" applyFill="1" applyBorder="1" applyAlignment="1">
      <alignment horizontal="right" vertical="center" wrapText="1"/>
    </xf>
    <xf numFmtId="3" fontId="96" fillId="81" borderId="115" xfId="0" applyNumberFormat="1" applyFont="1" applyFill="1" applyBorder="1" applyAlignment="1">
      <alignment vertical="center" wrapText="1"/>
    </xf>
    <xf numFmtId="0" fontId="97" fillId="0" borderId="32" xfId="16" applyFont="1" applyBorder="1" applyAlignment="1">
      <alignment horizontal="center" vertical="center"/>
    </xf>
    <xf numFmtId="0" fontId="97" fillId="0" borderId="59" xfId="16" applyFont="1" applyBorder="1" applyAlignment="1">
      <alignment horizontal="center" vertical="center"/>
    </xf>
    <xf numFmtId="0" fontId="97" fillId="0" borderId="31" xfId="16" applyFont="1" applyBorder="1" applyAlignment="1">
      <alignment horizontal="center" vertical="center"/>
    </xf>
    <xf numFmtId="9" fontId="97" fillId="0" borderId="38" xfId="16" applyNumberFormat="1" applyFont="1" applyBorder="1" applyAlignment="1">
      <alignment horizontal="center" vertical="center"/>
    </xf>
    <xf numFmtId="0" fontId="59" fillId="0" borderId="93" xfId="0" applyFont="1" applyBorder="1" applyAlignment="1">
      <alignment vertical="top" wrapText="1"/>
    </xf>
    <xf numFmtId="1" fontId="32" fillId="81" borderId="96" xfId="0" applyNumberFormat="1" applyFont="1" applyFill="1" applyBorder="1" applyAlignment="1">
      <alignment horizontal="center" vertical="center" wrapText="1"/>
    </xf>
    <xf numFmtId="10" fontId="32" fillId="81" borderId="96" xfId="17" applyNumberFormat="1" applyFont="1" applyFill="1" applyBorder="1" applyAlignment="1">
      <alignment horizontal="center" vertical="center" wrapText="1"/>
    </xf>
    <xf numFmtId="9" fontId="60" fillId="81" borderId="115" xfId="0" applyNumberFormat="1" applyFont="1" applyFill="1" applyBorder="1" applyAlignment="1">
      <alignment horizontal="center" vertical="center" wrapText="1"/>
    </xf>
    <xf numFmtId="9" fontId="97" fillId="0" borderId="32" xfId="17" applyFont="1" applyBorder="1" applyAlignment="1">
      <alignment horizontal="center" vertical="center"/>
    </xf>
    <xf numFmtId="9" fontId="97" fillId="0" borderId="59" xfId="17" applyFont="1" applyBorder="1" applyAlignment="1">
      <alignment horizontal="center" vertical="center"/>
    </xf>
    <xf numFmtId="0" fontId="29" fillId="62" borderId="83" xfId="0" applyFont="1" applyFill="1" applyBorder="1" applyAlignment="1">
      <alignment horizontal="center" vertical="center"/>
    </xf>
    <xf numFmtId="9" fontId="29" fillId="0" borderId="83" xfId="3" applyFont="1" applyBorder="1" applyAlignment="1">
      <alignment horizontal="center" vertical="center" wrapText="1"/>
    </xf>
    <xf numFmtId="1" fontId="32" fillId="0" borderId="83" xfId="0" applyNumberFormat="1" applyFont="1" applyBorder="1" applyAlignment="1">
      <alignment horizontal="center" vertical="center" wrapText="1"/>
    </xf>
    <xf numFmtId="9" fontId="97" fillId="0" borderId="31" xfId="16" applyNumberFormat="1" applyFont="1" applyBorder="1" applyAlignment="1">
      <alignment horizontal="center" vertical="center"/>
    </xf>
    <xf numFmtId="10" fontId="29" fillId="62" borderId="88" xfId="0" applyNumberFormat="1" applyFont="1" applyFill="1" applyBorder="1" applyAlignment="1">
      <alignment horizontal="center" vertical="center"/>
    </xf>
    <xf numFmtId="0" fontId="29" fillId="0" borderId="89" xfId="0" applyFont="1" applyBorder="1" applyAlignment="1">
      <alignment horizontal="center" vertical="center" wrapText="1"/>
    </xf>
    <xf numFmtId="1" fontId="97" fillId="0" borderId="31" xfId="16" applyNumberFormat="1" applyFont="1" applyBorder="1" applyAlignment="1">
      <alignment horizontal="center" vertical="center"/>
    </xf>
    <xf numFmtId="1" fontId="97" fillId="0" borderId="32" xfId="16" applyNumberFormat="1" applyFont="1" applyBorder="1" applyAlignment="1">
      <alignment horizontal="center" vertical="center"/>
    </xf>
    <xf numFmtId="1" fontId="97" fillId="0" borderId="32" xfId="16" applyNumberFormat="1" applyFont="1" applyBorder="1" applyAlignment="1">
      <alignment horizontal="center" vertical="center" wrapText="1"/>
    </xf>
    <xf numFmtId="1" fontId="97" fillId="0" borderId="59" xfId="16" applyNumberFormat="1" applyFont="1" applyBorder="1" applyAlignment="1">
      <alignment horizontal="center" vertical="center" wrapText="1"/>
    </xf>
    <xf numFmtId="0" fontId="98" fillId="9" borderId="55" xfId="0" applyFont="1" applyFill="1" applyBorder="1" applyAlignment="1">
      <alignment horizontal="center" wrapText="1"/>
    </xf>
    <xf numFmtId="0" fontId="97" fillId="0" borderId="63" xfId="16" applyFont="1" applyBorder="1" applyAlignment="1">
      <alignment horizontal="justify" vertical="center" wrapText="1"/>
    </xf>
    <xf numFmtId="0" fontId="97" fillId="0" borderId="37" xfId="16" applyFont="1" applyBorder="1" applyAlignment="1">
      <alignment horizontal="justify" vertical="center" wrapText="1"/>
    </xf>
    <xf numFmtId="9" fontId="97" fillId="0" borderId="63" xfId="16" applyNumberFormat="1" applyFont="1" applyBorder="1" applyAlignment="1">
      <alignment horizontal="center" vertical="center"/>
    </xf>
    <xf numFmtId="9" fontId="97" fillId="0" borderId="37" xfId="16" applyNumberFormat="1" applyFont="1" applyBorder="1" applyAlignment="1">
      <alignment horizontal="center" vertical="center"/>
    </xf>
    <xf numFmtId="9" fontId="97" fillId="0" borderId="21" xfId="16" applyNumberFormat="1" applyFont="1" applyBorder="1" applyAlignment="1">
      <alignment horizontal="center" vertical="center"/>
    </xf>
    <xf numFmtId="0" fontId="97" fillId="0" borderId="38" xfId="16" applyFont="1" applyBorder="1" applyAlignment="1">
      <alignment vertical="center" wrapText="1"/>
    </xf>
    <xf numFmtId="0" fontId="97" fillId="0" borderId="36" xfId="16" applyFont="1" applyBorder="1" applyAlignment="1">
      <alignment vertical="center" wrapText="1"/>
    </xf>
    <xf numFmtId="0" fontId="97" fillId="0" borderId="153" xfId="0" applyFont="1" applyBorder="1" applyAlignment="1">
      <alignment horizontal="center" vertical="center" wrapText="1"/>
    </xf>
    <xf numFmtId="9" fontId="97" fillId="0" borderId="38" xfId="3" applyFont="1" applyBorder="1" applyAlignment="1">
      <alignment horizontal="center" vertical="center"/>
    </xf>
    <xf numFmtId="3" fontId="97" fillId="9" borderId="94" xfId="0" applyNumberFormat="1" applyFont="1" applyFill="1" applyBorder="1" applyAlignment="1">
      <alignment horizontal="center" vertical="center" wrapText="1"/>
    </xf>
    <xf numFmtId="0" fontId="102" fillId="49" borderId="96" xfId="0" applyFont="1" applyFill="1" applyBorder="1" applyAlignment="1">
      <alignment horizontal="center" vertical="center" wrapText="1"/>
    </xf>
    <xf numFmtId="10" fontId="102" fillId="49" borderId="96" xfId="17" applyNumberFormat="1" applyFont="1" applyFill="1" applyBorder="1" applyAlignment="1">
      <alignment horizontal="center" vertical="center" wrapText="1"/>
    </xf>
    <xf numFmtId="0" fontId="92" fillId="82" borderId="96" xfId="0" applyFont="1" applyFill="1" applyBorder="1" applyAlignment="1">
      <alignment horizontal="center" vertical="top" wrapText="1"/>
    </xf>
    <xf numFmtId="0" fontId="38" fillId="0" borderId="0" xfId="0" applyFont="1" applyAlignment="1">
      <alignment vertical="center" wrapText="1"/>
    </xf>
    <xf numFmtId="3" fontId="29" fillId="0" borderId="93" xfId="0" applyNumberFormat="1" applyFont="1" applyBorder="1" applyAlignment="1">
      <alignment horizontal="center" vertical="center" wrapText="1"/>
    </xf>
    <xf numFmtId="171" fontId="32" fillId="83" borderId="96" xfId="0" applyNumberFormat="1" applyFont="1" applyFill="1" applyBorder="1" applyAlignment="1">
      <alignment horizontal="center" vertical="center" wrapText="1"/>
    </xf>
    <xf numFmtId="10" fontId="102" fillId="83" borderId="96" xfId="3" applyNumberFormat="1" applyFont="1" applyFill="1" applyBorder="1" applyAlignment="1">
      <alignment horizontal="center" vertical="center" wrapText="1"/>
    </xf>
    <xf numFmtId="171" fontId="102" fillId="83" borderId="96" xfId="0" applyNumberFormat="1" applyFont="1" applyFill="1" applyBorder="1" applyAlignment="1">
      <alignment horizontal="center" vertical="center" wrapText="1"/>
    </xf>
    <xf numFmtId="171" fontId="102" fillId="84" borderId="96" xfId="0" applyNumberFormat="1" applyFont="1" applyFill="1" applyBorder="1" applyAlignment="1">
      <alignment horizontal="right" vertical="center" wrapText="1"/>
    </xf>
    <xf numFmtId="10" fontId="102" fillId="49" borderId="96" xfId="0" applyNumberFormat="1" applyFont="1" applyFill="1" applyBorder="1" applyAlignment="1">
      <alignment horizontal="center" vertical="center" wrapText="1"/>
    </xf>
    <xf numFmtId="4" fontId="102" fillId="83" borderId="96" xfId="0" applyNumberFormat="1" applyFont="1" applyFill="1" applyBorder="1" applyAlignment="1">
      <alignment horizontal="center" vertical="center" wrapText="1"/>
    </xf>
    <xf numFmtId="10" fontId="102" fillId="83" borderId="96" xfId="0" applyNumberFormat="1" applyFont="1" applyFill="1" applyBorder="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0" fontId="38" fillId="62" borderId="0" xfId="0" applyFont="1" applyFill="1" applyAlignment="1">
      <alignment vertical="top" wrapText="1"/>
    </xf>
    <xf numFmtId="9" fontId="38" fillId="0" borderId="0" xfId="0" applyNumberFormat="1" applyFont="1" applyAlignment="1">
      <alignment horizontal="center" vertical="center" wrapText="1"/>
    </xf>
    <xf numFmtId="9" fontId="38" fillId="0" borderId="0" xfId="0" applyNumberFormat="1" applyFont="1" applyAlignment="1">
      <alignment vertical="center" wrapText="1"/>
    </xf>
    <xf numFmtId="10" fontId="38" fillId="0" borderId="0" xfId="3" applyNumberFormat="1" applyFont="1" applyAlignment="1">
      <alignment horizontal="center" vertical="center" wrapText="1"/>
    </xf>
    <xf numFmtId="170" fontId="38" fillId="0" borderId="0" xfId="0" applyNumberFormat="1" applyFont="1" applyAlignment="1">
      <alignment vertical="center" wrapText="1"/>
    </xf>
    <xf numFmtId="0" fontId="38" fillId="0" borderId="0" xfId="0" applyFont="1" applyAlignment="1">
      <alignment horizontal="right" vertical="center" wrapText="1"/>
    </xf>
    <xf numFmtId="10" fontId="38" fillId="0" borderId="0" xfId="0" applyNumberFormat="1" applyFont="1" applyAlignment="1">
      <alignment horizontal="center" vertical="center" wrapText="1"/>
    </xf>
    <xf numFmtId="44" fontId="38" fillId="0" borderId="0" xfId="11" applyFont="1" applyAlignment="1">
      <alignment vertical="center" wrapText="1"/>
    </xf>
    <xf numFmtId="0" fontId="94" fillId="0" borderId="0" xfId="0" applyFont="1"/>
    <xf numFmtId="0" fontId="103" fillId="0" borderId="0" xfId="0" applyFont="1"/>
    <xf numFmtId="0" fontId="94" fillId="62" borderId="0" xfId="0" applyFont="1" applyFill="1"/>
    <xf numFmtId="9" fontId="94" fillId="0" borderId="0" xfId="0" applyNumberFormat="1" applyFont="1"/>
    <xf numFmtId="0" fontId="94" fillId="0" borderId="0" xfId="0" applyFont="1" applyAlignment="1">
      <alignment horizontal="center"/>
    </xf>
    <xf numFmtId="170" fontId="94" fillId="0" borderId="0" xfId="0" applyNumberFormat="1" applyFont="1"/>
    <xf numFmtId="10" fontId="94" fillId="0" borderId="0" xfId="0" applyNumberFormat="1" applyFont="1"/>
    <xf numFmtId="44" fontId="94" fillId="0" borderId="0" xfId="11" applyFont="1"/>
    <xf numFmtId="44" fontId="0" fillId="0" borderId="0" xfId="11" applyFont="1"/>
    <xf numFmtId="10" fontId="29" fillId="0" borderId="74" xfId="3" applyNumberFormat="1" applyFont="1" applyFill="1" applyBorder="1" applyAlignment="1">
      <alignment horizontal="center" vertical="center" wrapText="1"/>
    </xf>
    <xf numFmtId="9" fontId="29" fillId="0" borderId="74" xfId="17" applyFont="1" applyFill="1" applyBorder="1" applyAlignment="1">
      <alignment horizontal="center" vertical="center" wrapText="1"/>
    </xf>
    <xf numFmtId="166" fontId="102" fillId="49" borderId="96" xfId="17" applyNumberFormat="1" applyFont="1" applyFill="1" applyBorder="1" applyAlignment="1">
      <alignment horizontal="center" vertical="center" wrapText="1"/>
    </xf>
    <xf numFmtId="49" fontId="35" fillId="0" borderId="44" xfId="5" applyNumberFormat="1" applyFont="1" applyBorder="1" applyAlignment="1">
      <alignment horizontal="center" vertical="center" wrapText="1"/>
    </xf>
    <xf numFmtId="49" fontId="35" fillId="0" borderId="42" xfId="5" applyNumberFormat="1" applyFont="1" applyBorder="1" applyAlignment="1">
      <alignment horizontal="center" vertical="center" wrapText="1"/>
    </xf>
    <xf numFmtId="49" fontId="35" fillId="0" borderId="45" xfId="5" applyNumberFormat="1" applyFont="1" applyBorder="1" applyAlignment="1">
      <alignment horizontal="center" vertical="center" wrapText="1"/>
    </xf>
    <xf numFmtId="49" fontId="35" fillId="0" borderId="45" xfId="5" applyNumberFormat="1" applyFont="1" applyBorder="1" applyAlignment="1">
      <alignment horizontal="center" vertical="center"/>
    </xf>
    <xf numFmtId="0" fontId="35" fillId="0" borderId="45" xfId="5" applyFont="1" applyBorder="1" applyAlignment="1">
      <alignment horizontal="center" vertical="center" wrapText="1"/>
    </xf>
    <xf numFmtId="0" fontId="31" fillId="10" borderId="14" xfId="5" applyFill="1" applyBorder="1" applyAlignment="1">
      <alignment horizontal="center"/>
    </xf>
    <xf numFmtId="0" fontId="31" fillId="10" borderId="15" xfId="5" applyFill="1" applyBorder="1" applyAlignment="1">
      <alignment horizontal="center"/>
    </xf>
    <xf numFmtId="0" fontId="21" fillId="10" borderId="15" xfId="5" applyFont="1" applyFill="1" applyBorder="1" applyAlignment="1">
      <alignment horizontal="center"/>
    </xf>
    <xf numFmtId="0" fontId="31" fillId="10" borderId="7" xfId="5" applyFill="1" applyBorder="1" applyAlignment="1">
      <alignment horizontal="center"/>
    </xf>
    <xf numFmtId="0" fontId="33" fillId="0" borderId="2" xfId="5" applyFont="1" applyBorder="1" applyAlignment="1">
      <alignment horizontal="center"/>
    </xf>
    <xf numFmtId="0" fontId="33" fillId="0" borderId="3" xfId="5" applyFont="1" applyBorder="1" applyAlignment="1">
      <alignment horizontal="center"/>
    </xf>
    <xf numFmtId="0" fontId="31" fillId="0" borderId="3" xfId="5" applyBorder="1" applyAlignment="1">
      <alignment horizontal="center"/>
    </xf>
    <xf numFmtId="0" fontId="33" fillId="0" borderId="4" xfId="5" applyFont="1" applyBorder="1" applyAlignment="1">
      <alignment horizontal="center"/>
    </xf>
    <xf numFmtId="0" fontId="33" fillId="0" borderId="9" xfId="5" applyFont="1" applyBorder="1" applyAlignment="1">
      <alignment horizontal="center"/>
    </xf>
    <xf numFmtId="0" fontId="33" fillId="0" borderId="0" xfId="5" applyFont="1" applyAlignment="1">
      <alignment horizontal="center"/>
    </xf>
    <xf numFmtId="0" fontId="31" fillId="0" borderId="0" xfId="5" applyAlignment="1">
      <alignment horizontal="center"/>
    </xf>
    <xf numFmtId="0" fontId="33" fillId="0" borderId="6" xfId="5" applyFont="1" applyBorder="1" applyAlignment="1">
      <alignment horizontal="center"/>
    </xf>
    <xf numFmtId="0" fontId="33" fillId="0" borderId="10" xfId="5" applyFont="1" applyBorder="1" applyAlignment="1">
      <alignment horizontal="center"/>
    </xf>
    <xf numFmtId="0" fontId="33" fillId="0" borderId="11" xfId="5" applyFont="1" applyBorder="1" applyAlignment="1">
      <alignment horizontal="center"/>
    </xf>
    <xf numFmtId="0" fontId="31" fillId="0" borderId="11" xfId="5" applyBorder="1" applyAlignment="1">
      <alignment horizontal="center"/>
    </xf>
    <xf numFmtId="0" fontId="33" fillId="0" borderId="8" xfId="5" applyFont="1" applyBorder="1" applyAlignment="1">
      <alignment horizontal="center"/>
    </xf>
    <xf numFmtId="0" fontId="34" fillId="0" borderId="40" xfId="0" applyFont="1" applyBorder="1" applyAlignment="1">
      <alignment horizontal="center" vertical="center" wrapText="1"/>
    </xf>
    <xf numFmtId="0" fontId="34" fillId="0" borderId="40" xfId="0" applyFont="1" applyBorder="1" applyAlignment="1">
      <alignment horizontal="center" vertical="center"/>
    </xf>
    <xf numFmtId="0" fontId="34" fillId="0" borderId="41" xfId="0" applyFont="1" applyBorder="1" applyAlignment="1">
      <alignment horizontal="center" vertical="center"/>
    </xf>
    <xf numFmtId="49" fontId="36" fillId="0" borderId="42" xfId="5" applyNumberFormat="1" applyFont="1" applyBorder="1" applyAlignment="1">
      <alignment horizontal="center" vertical="center" wrapText="1"/>
    </xf>
    <xf numFmtId="49" fontId="35" fillId="0" borderId="43" xfId="5" applyNumberFormat="1" applyFont="1" applyBorder="1" applyAlignment="1">
      <alignment horizontal="center" vertical="center" wrapText="1"/>
    </xf>
    <xf numFmtId="49" fontId="35" fillId="0" borderId="40" xfId="5" applyNumberFormat="1" applyFont="1" applyBorder="1" applyAlignment="1">
      <alignment horizontal="center" vertical="center" wrapText="1"/>
    </xf>
    <xf numFmtId="49" fontId="35" fillId="0" borderId="41" xfId="5" applyNumberFormat="1" applyFont="1" applyBorder="1" applyAlignment="1">
      <alignment horizontal="center" vertical="center" wrapText="1"/>
    </xf>
    <xf numFmtId="49" fontId="35" fillId="9" borderId="44" xfId="5" applyNumberFormat="1" applyFont="1" applyFill="1" applyBorder="1" applyAlignment="1">
      <alignment horizontal="center" vertical="center" wrapText="1"/>
    </xf>
    <xf numFmtId="49" fontId="35" fillId="9" borderId="42" xfId="5" applyNumberFormat="1" applyFont="1" applyFill="1" applyBorder="1" applyAlignment="1">
      <alignment horizontal="center" vertical="center" wrapText="1"/>
    </xf>
    <xf numFmtId="0" fontId="32" fillId="10" borderId="11" xfId="5" applyFont="1" applyFill="1" applyBorder="1" applyAlignment="1">
      <alignment horizontal="center" vertical="center"/>
    </xf>
    <xf numFmtId="0" fontId="32" fillId="12" borderId="2" xfId="5" applyFont="1" applyFill="1" applyBorder="1" applyAlignment="1">
      <alignment horizontal="center" vertical="center" wrapText="1"/>
    </xf>
    <xf numFmtId="0" fontId="32" fillId="12" borderId="4" xfId="5" applyFont="1" applyFill="1" applyBorder="1" applyAlignment="1">
      <alignment horizontal="center" vertical="center" wrapText="1"/>
    </xf>
    <xf numFmtId="0" fontId="32" fillId="12" borderId="14" xfId="5" applyFont="1" applyFill="1" applyBorder="1" applyAlignment="1">
      <alignment horizontal="center" vertical="center" wrapText="1"/>
    </xf>
    <xf numFmtId="0" fontId="32" fillId="12" borderId="7" xfId="5" applyFont="1" applyFill="1" applyBorder="1" applyAlignment="1">
      <alignment horizontal="center" vertical="center" wrapText="1"/>
    </xf>
    <xf numFmtId="0" fontId="30" fillId="11" borderId="14"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69" fillId="10" borderId="11" xfId="5" applyFont="1" applyFill="1" applyBorder="1" applyAlignment="1">
      <alignment horizontal="center" vertical="center"/>
    </xf>
    <xf numFmtId="0" fontId="69" fillId="12" borderId="2" xfId="5" applyFont="1" applyFill="1" applyBorder="1" applyAlignment="1">
      <alignment horizontal="center" vertical="center" wrapText="1"/>
    </xf>
    <xf numFmtId="0" fontId="69" fillId="12" borderId="68" xfId="5" applyFont="1" applyFill="1" applyBorder="1" applyAlignment="1">
      <alignment horizontal="center" vertical="center" wrapText="1"/>
    </xf>
    <xf numFmtId="0" fontId="69" fillId="12" borderId="14" xfId="5" applyFont="1" applyFill="1" applyBorder="1" applyAlignment="1">
      <alignment horizontal="center" vertical="center" wrapText="1"/>
    </xf>
    <xf numFmtId="0" fontId="69" fillId="12" borderId="7" xfId="5" applyFont="1" applyFill="1" applyBorder="1" applyAlignment="1">
      <alignment horizontal="center" vertical="center" wrapText="1"/>
    </xf>
    <xf numFmtId="0" fontId="102" fillId="49" borderId="14" xfId="0" applyFont="1" applyFill="1" applyBorder="1" applyAlignment="1">
      <alignment horizontal="center" vertical="center" wrapText="1"/>
    </xf>
    <xf numFmtId="0" fontId="102" fillId="49" borderId="15" xfId="0" applyFont="1" applyFill="1" applyBorder="1" applyAlignment="1">
      <alignment horizontal="center" vertical="center" wrapText="1"/>
    </xf>
    <xf numFmtId="0" fontId="93" fillId="0" borderId="113" xfId="0" applyFont="1" applyBorder="1"/>
    <xf numFmtId="0" fontId="39" fillId="57" borderId="80" xfId="0" applyFont="1" applyFill="1" applyBorder="1" applyAlignment="1">
      <alignment horizontal="center" vertical="center" wrapText="1"/>
    </xf>
    <xf numFmtId="0" fontId="93" fillId="0" borderId="83" xfId="0" applyFont="1" applyBorder="1"/>
    <xf numFmtId="0" fontId="39" fillId="58" borderId="80" xfId="0" applyFont="1" applyFill="1" applyBorder="1" applyAlignment="1">
      <alignment horizontal="center" vertical="center" wrapText="1"/>
    </xf>
    <xf numFmtId="0" fontId="39" fillId="56" borderId="84" xfId="0" applyFont="1" applyFill="1" applyBorder="1" applyAlignment="1">
      <alignment horizontal="center" vertical="center" wrapText="1"/>
    </xf>
    <xf numFmtId="0" fontId="93" fillId="0" borderId="85" xfId="0" applyFont="1" applyBorder="1"/>
    <xf numFmtId="0" fontId="93" fillId="0" borderId="86" xfId="0" applyFont="1" applyBorder="1"/>
    <xf numFmtId="0" fontId="39" fillId="52" borderId="78" xfId="0" applyFont="1" applyFill="1" applyBorder="1" applyAlignment="1">
      <alignment horizontal="center" vertical="center" wrapText="1"/>
    </xf>
    <xf numFmtId="0" fontId="93" fillId="0" borderId="79" xfId="0" applyFont="1" applyBorder="1"/>
    <xf numFmtId="0" fontId="93" fillId="0" borderId="82" xfId="0" applyFont="1" applyBorder="1"/>
    <xf numFmtId="0" fontId="39" fillId="53" borderId="84" xfId="0" applyFont="1" applyFill="1" applyBorder="1" applyAlignment="1">
      <alignment horizontal="center" vertical="center" wrapText="1"/>
    </xf>
    <xf numFmtId="0" fontId="93" fillId="54" borderId="85" xfId="0" applyFont="1" applyFill="1" applyBorder="1"/>
    <xf numFmtId="0" fontId="93" fillId="54" borderId="86" xfId="0" applyFont="1" applyFill="1" applyBorder="1"/>
    <xf numFmtId="0" fontId="39" fillId="55" borderId="75" xfId="0" applyFont="1" applyFill="1" applyBorder="1" applyAlignment="1">
      <alignment horizontal="center" vertical="center" wrapText="1"/>
    </xf>
    <xf numFmtId="0" fontId="93" fillId="0" borderId="76" xfId="0" applyFont="1" applyBorder="1"/>
    <xf numFmtId="0" fontId="93" fillId="0" borderId="77" xfId="0" applyFont="1" applyBorder="1"/>
    <xf numFmtId="0" fontId="39" fillId="55" borderId="84" xfId="0" applyFont="1" applyFill="1" applyBorder="1" applyAlignment="1">
      <alignment horizontal="center" vertical="center" wrapText="1"/>
    </xf>
    <xf numFmtId="170" fontId="39" fillId="55" borderId="75" xfId="0" applyNumberFormat="1" applyFont="1" applyFill="1" applyBorder="1" applyAlignment="1">
      <alignment horizontal="center" vertical="center" wrapText="1"/>
    </xf>
    <xf numFmtId="10" fontId="39" fillId="55" borderId="84" xfId="0" applyNumberFormat="1" applyFont="1" applyFill="1" applyBorder="1" applyAlignment="1">
      <alignment horizontal="center" vertical="center" wrapText="1"/>
    </xf>
    <xf numFmtId="0" fontId="39" fillId="51" borderId="78" xfId="0" applyFont="1" applyFill="1" applyBorder="1" applyAlignment="1">
      <alignment horizontal="center" vertical="center" wrapText="1"/>
    </xf>
    <xf numFmtId="0" fontId="39" fillId="51" borderId="80" xfId="0" applyFont="1" applyFill="1" applyBorder="1" applyAlignment="1">
      <alignment horizontal="center" vertical="center" wrapText="1"/>
    </xf>
    <xf numFmtId="9" fontId="39" fillId="51" borderId="80" xfId="0" applyNumberFormat="1" applyFont="1" applyFill="1" applyBorder="1" applyAlignment="1">
      <alignment horizontal="center" vertical="center" wrapText="1"/>
    </xf>
    <xf numFmtId="0" fontId="39" fillId="49" borderId="80" xfId="0" applyFont="1" applyFill="1" applyBorder="1" applyAlignment="1">
      <alignment horizontal="center" vertical="center" wrapText="1"/>
    </xf>
    <xf numFmtId="0" fontId="39" fillId="51" borderId="81" xfId="0" applyFont="1" applyFill="1" applyBorder="1" applyAlignment="1">
      <alignment horizontal="center" vertical="center" wrapText="1"/>
    </xf>
    <xf numFmtId="0" fontId="39" fillId="51" borderId="75" xfId="0" applyFont="1" applyFill="1" applyBorder="1" applyAlignment="1">
      <alignment horizontal="center" vertical="center" wrapText="1"/>
    </xf>
    <xf numFmtId="0" fontId="38" fillId="0" borderId="73" xfId="0" applyFont="1" applyBorder="1" applyAlignment="1">
      <alignment horizontal="center" vertical="center" wrapText="1"/>
    </xf>
    <xf numFmtId="0" fontId="0" fillId="0" borderId="0" xfId="0"/>
    <xf numFmtId="0" fontId="39" fillId="48" borderId="73" xfId="0" applyFont="1" applyFill="1" applyBorder="1" applyAlignment="1">
      <alignment horizontal="center" vertical="center" wrapText="1"/>
    </xf>
    <xf numFmtId="0" fontId="93" fillId="0" borderId="0" xfId="0" applyFont="1"/>
    <xf numFmtId="0" fontId="39" fillId="49" borderId="75" xfId="0" applyFont="1" applyFill="1" applyBorder="1" applyAlignment="1">
      <alignment horizontal="center" vertical="center" wrapText="1"/>
    </xf>
    <xf numFmtId="0" fontId="39" fillId="50" borderId="76" xfId="0" applyFont="1" applyFill="1" applyBorder="1" applyAlignment="1">
      <alignment horizontal="center" vertical="center" wrapText="1"/>
    </xf>
    <xf numFmtId="0" fontId="94" fillId="49" borderId="78" xfId="0" applyFont="1" applyFill="1" applyBorder="1" applyAlignment="1">
      <alignment horizontal="center"/>
    </xf>
    <xf numFmtId="0" fontId="7" fillId="6" borderId="18" xfId="3" applyNumberFormat="1" applyFont="1" applyFill="1" applyBorder="1" applyAlignment="1" applyProtection="1">
      <alignment horizontal="center" vertical="center" wrapText="1"/>
      <protection hidden="1"/>
    </xf>
    <xf numFmtId="0" fontId="7" fillId="6" borderId="19" xfId="3" applyNumberFormat="1" applyFont="1" applyFill="1" applyBorder="1" applyAlignment="1" applyProtection="1">
      <alignment horizontal="center" vertical="center" wrapText="1"/>
      <protection hidden="1"/>
    </xf>
    <xf numFmtId="0" fontId="7" fillId="6" borderId="67" xfId="3" applyNumberFormat="1" applyFont="1" applyFill="1" applyBorder="1" applyAlignment="1" applyProtection="1">
      <alignment horizontal="center" vertical="center" wrapText="1"/>
      <protection hidden="1"/>
    </xf>
    <xf numFmtId="0" fontId="30" fillId="11" borderId="14" xfId="5" applyFont="1" applyFill="1" applyBorder="1" applyAlignment="1">
      <alignment horizontal="center" vertical="center" wrapText="1"/>
    </xf>
    <xf numFmtId="0" fontId="30" fillId="11" borderId="15" xfId="5" applyFont="1" applyFill="1" applyBorder="1" applyAlignment="1">
      <alignment horizontal="center" vertical="center" wrapText="1"/>
    </xf>
    <xf numFmtId="0" fontId="30" fillId="11" borderId="7" xfId="5" applyFont="1" applyFill="1" applyBorder="1" applyAlignment="1">
      <alignment horizontal="center" vertical="center" wrapText="1"/>
    </xf>
    <xf numFmtId="0" fontId="29" fillId="10" borderId="14"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29" fillId="10" borderId="7" xfId="0" applyFont="1" applyFill="1" applyBorder="1" applyAlignment="1">
      <alignment horizontal="center" vertical="center" wrapText="1"/>
    </xf>
    <xf numFmtId="0" fontId="30" fillId="11" borderId="14" xfId="5" applyFont="1" applyFill="1" applyBorder="1" applyAlignment="1">
      <alignment horizontal="left" vertical="center" wrapText="1"/>
    </xf>
    <xf numFmtId="0" fontId="30" fillId="11" borderId="15" xfId="5" applyFont="1" applyFill="1" applyBorder="1" applyAlignment="1">
      <alignment horizontal="left" vertical="center" wrapText="1"/>
    </xf>
    <xf numFmtId="0" fontId="14" fillId="0" borderId="14" xfId="0" applyFont="1" applyBorder="1" applyAlignment="1" applyProtection="1">
      <alignment horizontal="left" vertical="top" wrapText="1"/>
      <protection locked="0"/>
    </xf>
    <xf numFmtId="0" fontId="14" fillId="0" borderId="15" xfId="0" applyFont="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30" fillId="11" borderId="14" xfId="0" applyFont="1" applyFill="1" applyBorder="1" applyAlignment="1">
      <alignment horizontal="left" vertical="center" wrapText="1"/>
    </xf>
    <xf numFmtId="0" fontId="30" fillId="11" borderId="15" xfId="0" applyFont="1" applyFill="1" applyBorder="1" applyAlignment="1">
      <alignment horizontal="left" vertical="center" wrapText="1"/>
    </xf>
    <xf numFmtId="0" fontId="30" fillId="11" borderId="7" xfId="0" applyFont="1" applyFill="1" applyBorder="1" applyAlignment="1">
      <alignment horizontal="left" vertical="center" wrapText="1"/>
    </xf>
    <xf numFmtId="0" fontId="4" fillId="0" borderId="0" xfId="0" applyFont="1" applyAlignment="1">
      <alignment horizontal="right" vertical="top" wrapText="1"/>
    </xf>
    <xf numFmtId="0" fontId="0" fillId="0" borderId="2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7" xfId="0" applyBorder="1" applyAlignment="1" applyProtection="1">
      <alignment horizontal="left" vertical="top"/>
      <protection hidden="1"/>
    </xf>
    <xf numFmtId="0" fontId="0" fillId="0" borderId="0" xfId="0" applyAlignment="1" applyProtection="1">
      <alignment horizontal="left" vertical="top"/>
      <protection hidden="1"/>
    </xf>
    <xf numFmtId="0" fontId="0" fillId="0" borderId="9"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9" fontId="28" fillId="3" borderId="14" xfId="0" applyNumberFormat="1" applyFont="1" applyFill="1" applyBorder="1" applyAlignment="1" applyProtection="1">
      <alignment horizontal="left" vertical="center" wrapText="1"/>
      <protection locked="0"/>
    </xf>
    <xf numFmtId="9" fontId="28" fillId="3" borderId="7" xfId="0" applyNumberFormat="1" applyFont="1" applyFill="1" applyBorder="1" applyAlignment="1" applyProtection="1">
      <alignment horizontal="left" vertical="center" wrapText="1"/>
      <protection locked="0"/>
    </xf>
    <xf numFmtId="9" fontId="8" fillId="3" borderId="9" xfId="0" applyNumberFormat="1" applyFont="1" applyFill="1" applyBorder="1" applyAlignment="1" applyProtection="1">
      <alignment horizontal="left" vertical="center" wrapText="1"/>
      <protection locked="0"/>
    </xf>
    <xf numFmtId="9" fontId="8" fillId="3" borderId="6" xfId="0" applyNumberFormat="1" applyFont="1" applyFill="1" applyBorder="1" applyAlignment="1" applyProtection="1">
      <alignment horizontal="left" vertical="center" wrapText="1"/>
      <protection locked="0"/>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3" fillId="3" borderId="31" xfId="0" applyFont="1" applyFill="1" applyBorder="1" applyAlignment="1" applyProtection="1">
      <alignment horizontal="center" vertical="top" wrapText="1"/>
      <protection locked="0"/>
    </xf>
    <xf numFmtId="0" fontId="3" fillId="3" borderId="32" xfId="0" applyFont="1" applyFill="1" applyBorder="1" applyAlignment="1" applyProtection="1">
      <alignment horizontal="center" vertical="top" wrapText="1"/>
      <protection locked="0"/>
    </xf>
    <xf numFmtId="0" fontId="3" fillId="3" borderId="33" xfId="0" applyFont="1" applyFill="1" applyBorder="1" applyAlignment="1" applyProtection="1">
      <alignment horizontal="center" vertical="top" wrapText="1"/>
      <protection locked="0"/>
    </xf>
    <xf numFmtId="0" fontId="3" fillId="3" borderId="38" xfId="0" applyFont="1" applyFill="1" applyBorder="1" applyAlignment="1" applyProtection="1">
      <alignment horizontal="center" vertical="top" wrapText="1"/>
      <protection locked="0"/>
    </xf>
    <xf numFmtId="0" fontId="3" fillId="3" borderId="36" xfId="0" applyFont="1" applyFill="1" applyBorder="1" applyAlignment="1" applyProtection="1">
      <alignment horizontal="center" vertical="top" wrapText="1"/>
      <protection locked="0"/>
    </xf>
    <xf numFmtId="0" fontId="3" fillId="3" borderId="39" xfId="0" applyFont="1" applyFill="1" applyBorder="1" applyAlignment="1" applyProtection="1">
      <alignment horizontal="center" vertical="top" wrapText="1"/>
      <protection locked="0"/>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9" fontId="8" fillId="3" borderId="14" xfId="0" applyNumberFormat="1" applyFont="1" applyFill="1" applyBorder="1" applyAlignment="1" applyProtection="1">
      <alignment horizontal="left" vertical="center" wrapText="1"/>
      <protection locked="0"/>
    </xf>
    <xf numFmtId="9" fontId="8" fillId="3" borderId="7" xfId="0" applyNumberFormat="1" applyFont="1" applyFill="1" applyBorder="1" applyAlignment="1" applyProtection="1">
      <alignment horizontal="left" vertical="center" wrapText="1"/>
      <protection locked="0"/>
    </xf>
    <xf numFmtId="9" fontId="4" fillId="4" borderId="14" xfId="0" applyNumberFormat="1" applyFont="1" applyFill="1" applyBorder="1" applyAlignment="1">
      <alignment horizontal="right" vertical="top"/>
    </xf>
    <xf numFmtId="9" fontId="4" fillId="4" borderId="7" xfId="0" applyNumberFormat="1" applyFont="1" applyFill="1" applyBorder="1" applyAlignment="1">
      <alignment horizontal="right" vertical="top"/>
    </xf>
    <xf numFmtId="9" fontId="3" fillId="0" borderId="2" xfId="0" applyNumberFormat="1" applyFont="1" applyBorder="1" applyAlignment="1">
      <alignment vertical="top" wrapText="1"/>
    </xf>
    <xf numFmtId="9" fontId="3" fillId="0" borderId="3" xfId="0" applyNumberFormat="1" applyFont="1" applyBorder="1" applyAlignment="1">
      <alignment vertical="top" wrapText="1"/>
    </xf>
    <xf numFmtId="9" fontId="3" fillId="0" borderId="4" xfId="0" applyNumberFormat="1" applyFont="1" applyBorder="1" applyAlignment="1">
      <alignment vertical="top"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6" xfId="0" applyFont="1" applyBorder="1" applyAlignment="1">
      <alignment vertical="top" wrapText="1"/>
    </xf>
    <xf numFmtId="0" fontId="4" fillId="0" borderId="1" xfId="0" applyFont="1" applyBorder="1" applyAlignment="1">
      <alignment vertical="center" wrapText="1"/>
    </xf>
    <xf numFmtId="0" fontId="4" fillId="0" borderId="5" xfId="0" applyFont="1" applyBorder="1" applyAlignment="1">
      <alignment vertical="center" wrapText="1"/>
    </xf>
    <xf numFmtId="0" fontId="4" fillId="0" borderId="13" xfId="0" applyFont="1" applyBorder="1" applyAlignment="1">
      <alignment vertical="center" wrapText="1"/>
    </xf>
    <xf numFmtId="0" fontId="12" fillId="0" borderId="14" xfId="0" applyFont="1" applyBorder="1" applyAlignment="1">
      <alignment vertical="center" wrapText="1"/>
    </xf>
    <xf numFmtId="0" fontId="12" fillId="0" borderId="15" xfId="0" applyFont="1" applyBorder="1" applyAlignment="1">
      <alignment vertical="center" wrapText="1"/>
    </xf>
    <xf numFmtId="0" fontId="12" fillId="0" borderId="7"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8"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7" xfId="0" applyFont="1" applyBorder="1" applyAlignment="1">
      <alignment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4" fillId="0" borderId="9" xfId="0" applyFont="1" applyBorder="1" applyAlignment="1">
      <alignment vertical="center" wrapText="1"/>
    </xf>
    <xf numFmtId="0" fontId="4" fillId="0" borderId="0" xfId="0" applyFont="1" applyAlignment="1">
      <alignment vertical="center" wrapText="1"/>
    </xf>
    <xf numFmtId="0" fontId="4" fillId="0" borderId="6"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9" xfId="0" applyFont="1" applyBorder="1" applyAlignment="1">
      <alignment vertical="center" wrapText="1"/>
    </xf>
    <xf numFmtId="0" fontId="3" fillId="0" borderId="0" xfId="0" applyFont="1" applyAlignment="1">
      <alignment vertical="center" wrapText="1"/>
    </xf>
    <xf numFmtId="0" fontId="3" fillId="0" borderId="6" xfId="0" applyFont="1" applyBorder="1" applyAlignment="1">
      <alignment vertical="center" wrapText="1"/>
    </xf>
    <xf numFmtId="0" fontId="4" fillId="0" borderId="0" xfId="0" applyFont="1" applyAlignment="1">
      <alignment horizontal="right" vertical="center" wrapText="1"/>
    </xf>
    <xf numFmtId="0" fontId="0" fillId="0" borderId="62"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7" fillId="0" borderId="27"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6" xfId="0" applyFont="1" applyBorder="1" applyAlignment="1" applyProtection="1">
      <alignment horizontal="left" vertical="center" wrapText="1"/>
      <protection locked="0"/>
    </xf>
    <xf numFmtId="0" fontId="14" fillId="3" borderId="10" xfId="0" applyFont="1" applyFill="1" applyBorder="1" applyAlignment="1" applyProtection="1">
      <alignment horizontal="left" vertical="center" wrapText="1"/>
      <protection locked="0"/>
    </xf>
    <xf numFmtId="0" fontId="14" fillId="3" borderId="11" xfId="0" applyFont="1" applyFill="1" applyBorder="1" applyAlignment="1" applyProtection="1">
      <alignment horizontal="left" vertical="center" wrapText="1"/>
      <protection locked="0"/>
    </xf>
    <xf numFmtId="0" fontId="14" fillId="3" borderId="64" xfId="0" applyFont="1" applyFill="1" applyBorder="1" applyAlignment="1" applyProtection="1">
      <alignment horizontal="left" vertical="center" wrapText="1"/>
      <protection locked="0"/>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14" fillId="0" borderId="0" xfId="0" applyFont="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3" fillId="3" borderId="14" xfId="0" applyFont="1" applyFill="1" applyBorder="1" applyAlignment="1" applyProtection="1">
      <alignment horizontal="center" vertical="top" wrapText="1"/>
      <protection locked="0"/>
    </xf>
    <xf numFmtId="0" fontId="3" fillId="3" borderId="15" xfId="0" applyFont="1" applyFill="1" applyBorder="1" applyAlignment="1" applyProtection="1">
      <alignment horizontal="center" vertical="top" wrapText="1"/>
      <protection locked="0"/>
    </xf>
    <xf numFmtId="0" fontId="3" fillId="3" borderId="7" xfId="0" applyFont="1" applyFill="1" applyBorder="1" applyAlignment="1" applyProtection="1">
      <alignment horizontal="center" vertical="top" wrapText="1"/>
      <protection locked="0"/>
    </xf>
    <xf numFmtId="0" fontId="12" fillId="0" borderId="14" xfId="0" applyFont="1" applyBorder="1" applyAlignment="1">
      <alignment horizontal="left" vertical="top"/>
    </xf>
    <xf numFmtId="0" fontId="12" fillId="0" borderId="15" xfId="0" applyFont="1" applyBorder="1" applyAlignment="1">
      <alignment horizontal="left" vertical="top"/>
    </xf>
    <xf numFmtId="0" fontId="12" fillId="0" borderId="7" xfId="0" applyFont="1" applyBorder="1" applyAlignment="1">
      <alignment horizontal="left" vertical="top"/>
    </xf>
    <xf numFmtId="0" fontId="27" fillId="3" borderId="18" xfId="0" applyFont="1" applyFill="1" applyBorder="1" applyAlignment="1" applyProtection="1">
      <alignment horizontal="left" vertical="top" wrapText="1"/>
      <protection locked="0"/>
    </xf>
    <xf numFmtId="0" fontId="27" fillId="3" borderId="19" xfId="0" applyFont="1" applyFill="1" applyBorder="1" applyAlignment="1" applyProtection="1">
      <alignment horizontal="left" vertical="top" wrapText="1"/>
      <protection locked="0"/>
    </xf>
    <xf numFmtId="0" fontId="27" fillId="3" borderId="20" xfId="0" applyFont="1" applyFill="1" applyBorder="1" applyAlignment="1" applyProtection="1">
      <alignment horizontal="left" vertical="top" wrapText="1"/>
      <protection locked="0"/>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17" fontId="4" fillId="0" borderId="14" xfId="0" applyNumberFormat="1" applyFont="1" applyBorder="1" applyAlignment="1">
      <alignment horizontal="left" vertical="top" wrapText="1"/>
    </xf>
    <xf numFmtId="17" fontId="4" fillId="0" borderId="15" xfId="0" applyNumberFormat="1" applyFont="1" applyBorder="1" applyAlignment="1">
      <alignment horizontal="left" vertical="top" wrapText="1"/>
    </xf>
    <xf numFmtId="17" fontId="4" fillId="0" borderId="7" xfId="0" applyNumberFormat="1" applyFont="1" applyBorder="1" applyAlignment="1">
      <alignment horizontal="left" vertical="top" wrapText="1"/>
    </xf>
    <xf numFmtId="0" fontId="3" fillId="0" borderId="14" xfId="0" applyFont="1" applyBorder="1" applyAlignment="1">
      <alignment vertical="top" wrapText="1"/>
    </xf>
    <xf numFmtId="0" fontId="3" fillId="0" borderId="7" xfId="0" applyFont="1" applyBorder="1" applyAlignment="1">
      <alignment vertical="top" wrapText="1"/>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4" fillId="3" borderId="14" xfId="0" applyFont="1" applyFill="1" applyBorder="1" applyAlignment="1" applyProtection="1">
      <alignment vertical="top"/>
      <protection locked="0"/>
    </xf>
    <xf numFmtId="0" fontId="4" fillId="3" borderId="7" xfId="0" applyFont="1" applyFill="1" applyBorder="1" applyAlignment="1" applyProtection="1">
      <alignment vertical="top"/>
      <protection locked="0"/>
    </xf>
    <xf numFmtId="0" fontId="4" fillId="5" borderId="10" xfId="0" applyFont="1" applyFill="1" applyBorder="1" applyAlignment="1" applyProtection="1">
      <alignment vertical="top" wrapText="1"/>
      <protection locked="0"/>
    </xf>
    <xf numFmtId="0" fontId="4" fillId="5" borderId="8" xfId="0" applyFont="1" applyFill="1" applyBorder="1" applyAlignment="1" applyProtection="1">
      <alignment vertical="top" wrapText="1"/>
      <protection locked="0"/>
    </xf>
    <xf numFmtId="0" fontId="4" fillId="0" borderId="2" xfId="0" applyFont="1" applyBorder="1" applyAlignment="1" applyProtection="1">
      <alignment horizontal="left" vertical="top"/>
      <protection locked="0"/>
    </xf>
    <xf numFmtId="0" fontId="4" fillId="0" borderId="3" xfId="0" applyFont="1" applyBorder="1" applyAlignment="1" applyProtection="1">
      <alignment horizontal="left" vertical="top"/>
      <protection locked="0"/>
    </xf>
    <xf numFmtId="0" fontId="4" fillId="0" borderId="4" xfId="0" applyFont="1" applyBorder="1" applyAlignment="1" applyProtection="1">
      <alignment horizontal="left" vertical="top"/>
      <protection locked="0"/>
    </xf>
    <xf numFmtId="0" fontId="4" fillId="0" borderId="14" xfId="0" applyFont="1" applyBorder="1" applyAlignment="1" applyProtection="1">
      <alignment horizontal="left" vertical="top"/>
      <protection locked="0"/>
    </xf>
    <xf numFmtId="0" fontId="4" fillId="0" borderId="15" xfId="0" applyFont="1" applyBorder="1" applyAlignment="1" applyProtection="1">
      <alignment horizontal="left" vertical="top"/>
      <protection locked="0"/>
    </xf>
    <xf numFmtId="0" fontId="4" fillId="0" borderId="7" xfId="0" applyFont="1" applyBorder="1" applyAlignment="1" applyProtection="1">
      <alignment horizontal="left" vertical="top"/>
      <protection locked="0"/>
    </xf>
    <xf numFmtId="0" fontId="17" fillId="3" borderId="14" xfId="2" applyFill="1" applyBorder="1" applyAlignment="1" applyProtection="1">
      <alignment vertical="top" wrapText="1"/>
      <protection locked="0"/>
    </xf>
    <xf numFmtId="0" fontId="4" fillId="3" borderId="7" xfId="0" applyFont="1" applyFill="1" applyBorder="1" applyAlignment="1" applyProtection="1">
      <alignment vertical="top" wrapText="1"/>
      <protection locked="0"/>
    </xf>
    <xf numFmtId="0" fontId="4" fillId="3" borderId="14" xfId="0" applyFont="1" applyFill="1" applyBorder="1" applyAlignment="1" applyProtection="1">
      <alignment vertical="top" wrapText="1"/>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9" fontId="4" fillId="3" borderId="10" xfId="3" applyFont="1" applyFill="1" applyBorder="1" applyAlignment="1" applyProtection="1">
      <alignment horizontal="center" vertical="top"/>
      <protection locked="0"/>
    </xf>
    <xf numFmtId="9" fontId="4" fillId="3" borderId="8" xfId="3" applyFont="1" applyFill="1" applyBorder="1" applyAlignment="1" applyProtection="1">
      <alignment horizontal="center" vertical="top"/>
      <protection locked="0"/>
    </xf>
    <xf numFmtId="0" fontId="7" fillId="3" borderId="2"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8" xfId="0" applyFont="1" applyFill="1" applyBorder="1" applyAlignment="1">
      <alignment horizontal="left" vertical="center" wrapText="1"/>
    </xf>
    <xf numFmtId="0" fontId="14" fillId="0" borderId="0" xfId="0" applyFont="1" applyAlignment="1" applyProtection="1">
      <alignment horizontal="left" vertical="center" wrapText="1"/>
      <protection locked="0"/>
    </xf>
    <xf numFmtId="0" fontId="4" fillId="0" borderId="29" xfId="0" applyFont="1" applyBorder="1" applyAlignment="1">
      <alignment horizontal="left" vertical="top"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horizontal="center" vertical="center"/>
    </xf>
    <xf numFmtId="0" fontId="4" fillId="0" borderId="13" xfId="0" applyFont="1" applyBorder="1" applyAlignment="1">
      <alignment horizontal="center" vertical="center"/>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8" xfId="0" applyFont="1" applyBorder="1" applyAlignment="1">
      <alignment horizontal="center" vertical="center" wrapText="1"/>
    </xf>
    <xf numFmtId="0" fontId="26" fillId="3" borderId="14"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protection locked="0"/>
    </xf>
    <xf numFmtId="0" fontId="4" fillId="0" borderId="1" xfId="0" applyFont="1" applyBorder="1" applyAlignment="1">
      <alignment horizontal="center" vertical="center" wrapText="1"/>
    </xf>
    <xf numFmtId="0" fontId="4" fillId="0" borderId="13" xfId="0" applyFont="1" applyBorder="1" applyAlignment="1">
      <alignment horizontal="center" vertical="center" wrapText="1"/>
    </xf>
    <xf numFmtId="0" fontId="26" fillId="0" borderId="9" xfId="0" applyFont="1" applyBorder="1" applyAlignment="1">
      <alignment vertical="top" wrapText="1"/>
    </xf>
    <xf numFmtId="0" fontId="26" fillId="0" borderId="0" xfId="0" applyFont="1" applyAlignment="1">
      <alignment vertical="top" wrapText="1"/>
    </xf>
    <xf numFmtId="0" fontId="26" fillId="0" borderId="6" xfId="0" applyFont="1" applyBorder="1" applyAlignment="1">
      <alignment vertical="top" wrapText="1"/>
    </xf>
    <xf numFmtId="0" fontId="14" fillId="3" borderId="14" xfId="0" applyFont="1" applyFill="1" applyBorder="1" applyAlignment="1" applyProtection="1">
      <alignment horizontal="left" vertical="top" wrapText="1"/>
      <protection locked="0"/>
    </xf>
    <xf numFmtId="0" fontId="14" fillId="3" borderId="15" xfId="0" applyFont="1" applyFill="1" applyBorder="1" applyAlignment="1" applyProtection="1">
      <alignment horizontal="left" vertical="top" wrapText="1"/>
      <protection locked="0"/>
    </xf>
    <xf numFmtId="0" fontId="14" fillId="3" borderId="7" xfId="0" applyFont="1" applyFill="1" applyBorder="1" applyAlignment="1" applyProtection="1">
      <alignment horizontal="left" vertical="top" wrapText="1"/>
      <protection locked="0"/>
    </xf>
    <xf numFmtId="0" fontId="8" fillId="0" borderId="1" xfId="0" applyFont="1" applyBorder="1" applyAlignment="1">
      <alignment horizontal="center" vertical="top" wrapText="1"/>
    </xf>
    <xf numFmtId="0" fontId="8" fillId="0" borderId="13" xfId="0" applyFont="1" applyBorder="1" applyAlignment="1">
      <alignment horizontal="center" vertical="top"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8" fillId="0" borderId="5" xfId="0" applyFont="1" applyBorder="1" applyAlignment="1">
      <alignment horizontal="center" vertical="top"/>
    </xf>
    <xf numFmtId="0" fontId="8" fillId="0" borderId="13" xfId="0" applyFont="1" applyBorder="1" applyAlignment="1">
      <alignment horizontal="center" vertical="top"/>
    </xf>
    <xf numFmtId="0" fontId="8" fillId="0" borderId="1" xfId="0" applyFont="1" applyBorder="1" applyAlignment="1">
      <alignment horizontal="center" vertical="top"/>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10" xfId="0" applyFont="1" applyFill="1" applyBorder="1" applyAlignment="1">
      <alignment horizontal="left" vertical="top" wrapText="1"/>
    </xf>
    <xf numFmtId="0" fontId="4" fillId="3" borderId="11" xfId="0" applyFont="1" applyFill="1" applyBorder="1" applyAlignment="1">
      <alignment horizontal="left" vertical="top" wrapText="1"/>
    </xf>
    <xf numFmtId="0" fontId="4" fillId="3" borderId="8" xfId="0" applyFont="1" applyFill="1" applyBorder="1" applyAlignment="1">
      <alignment horizontal="left" vertical="top" wrapText="1"/>
    </xf>
    <xf numFmtId="0" fontId="4" fillId="0" borderId="29" xfId="0" applyFont="1" applyBorder="1" applyAlignment="1">
      <alignment vertical="top" wrapText="1"/>
    </xf>
    <xf numFmtId="0" fontId="3" fillId="3" borderId="9"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0" fontId="14" fillId="3" borderId="18" xfId="0" applyFont="1" applyFill="1" applyBorder="1" applyAlignment="1" applyProtection="1">
      <alignment horizontal="left" vertical="center" wrapText="1"/>
      <protection locked="0"/>
    </xf>
    <xf numFmtId="0" fontId="14" fillId="3" borderId="19"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8" fillId="0" borderId="16" xfId="0" applyFont="1" applyBorder="1" applyAlignment="1">
      <alignment horizontal="center" vertical="top" wrapText="1"/>
    </xf>
    <xf numFmtId="0" fontId="7" fillId="0" borderId="2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3"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5" xfId="0" applyFont="1" applyBorder="1" applyAlignment="1">
      <alignment horizontal="center" vertical="center" wrapText="1"/>
    </xf>
    <xf numFmtId="0" fontId="4" fillId="3" borderId="21" xfId="0" applyFont="1" applyFill="1" applyBorder="1" applyAlignment="1">
      <alignment horizontal="left" vertical="top" wrapText="1"/>
    </xf>
    <xf numFmtId="0" fontId="4" fillId="3" borderId="22" xfId="0" applyFont="1" applyFill="1" applyBorder="1" applyAlignment="1">
      <alignment horizontal="left" vertical="top" wrapText="1"/>
    </xf>
    <xf numFmtId="0" fontId="4" fillId="3" borderId="23" xfId="0" applyFont="1" applyFill="1" applyBorder="1" applyAlignment="1">
      <alignment horizontal="left" vertical="top" wrapText="1"/>
    </xf>
    <xf numFmtId="0" fontId="4" fillId="3" borderId="27" xfId="0" applyFont="1" applyFill="1" applyBorder="1" applyAlignment="1">
      <alignment horizontal="left" vertical="top" wrapText="1"/>
    </xf>
    <xf numFmtId="0" fontId="4" fillId="3" borderId="0" xfId="0" applyFont="1" applyFill="1" applyAlignment="1">
      <alignment horizontal="left" vertical="top" wrapText="1"/>
    </xf>
    <xf numFmtId="0" fontId="4" fillId="3" borderId="28" xfId="0" applyFont="1" applyFill="1" applyBorder="1" applyAlignment="1">
      <alignment horizontal="left" vertical="top"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28" fillId="9" borderId="1" xfId="0" applyFont="1" applyFill="1" applyBorder="1" applyAlignment="1">
      <alignment horizontal="center" vertical="center" wrapText="1"/>
    </xf>
    <xf numFmtId="0" fontId="28" fillId="9" borderId="13" xfId="0"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15" xfId="0" applyFont="1" applyBorder="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168" fontId="4" fillId="3" borderId="1" xfId="0" applyNumberFormat="1" applyFont="1" applyFill="1" applyBorder="1" applyAlignment="1" applyProtection="1">
      <alignment horizontal="center" vertical="center" wrapText="1"/>
      <protection locked="0"/>
    </xf>
    <xf numFmtId="168" fontId="4" fillId="3" borderId="13" xfId="0" applyNumberFormat="1" applyFont="1" applyFill="1" applyBorder="1" applyAlignment="1" applyProtection="1">
      <alignment horizontal="center" vertical="center" wrapText="1"/>
      <protection locked="0"/>
    </xf>
    <xf numFmtId="168" fontId="7" fillId="3" borderId="1" xfId="0" applyNumberFormat="1" applyFont="1" applyFill="1" applyBorder="1" applyAlignment="1" applyProtection="1">
      <alignment horizontal="center" vertical="center" wrapText="1"/>
      <protection locked="0"/>
    </xf>
    <xf numFmtId="168" fontId="7" fillId="3" borderId="13" xfId="0" applyNumberFormat="1" applyFont="1" applyFill="1" applyBorder="1" applyAlignment="1" applyProtection="1">
      <alignment horizontal="center" vertical="center" wrapText="1"/>
      <protection locked="0"/>
    </xf>
    <xf numFmtId="0" fontId="85" fillId="3" borderId="1" xfId="0" applyFont="1" applyFill="1" applyBorder="1" applyAlignment="1">
      <alignment horizontal="left" vertical="center" wrapText="1"/>
    </xf>
    <xf numFmtId="0" fontId="85" fillId="3" borderId="13" xfId="0" applyFont="1" applyFill="1" applyBorder="1" applyAlignment="1">
      <alignment horizontal="left"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4" fillId="0" borderId="17"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0" borderId="7" xfId="0" applyFont="1" applyBorder="1" applyAlignment="1">
      <alignment vertical="top"/>
    </xf>
    <xf numFmtId="0" fontId="8" fillId="0" borderId="1" xfId="0" applyFont="1" applyBorder="1" applyAlignment="1">
      <alignment vertical="top" wrapText="1"/>
    </xf>
    <xf numFmtId="0" fontId="8" fillId="0" borderId="5" xfId="0" applyFont="1" applyBorder="1" applyAlignment="1">
      <alignment vertical="top" wrapText="1"/>
    </xf>
    <xf numFmtId="0" fontId="8" fillId="0" borderId="13" xfId="0" applyFont="1" applyBorder="1" applyAlignment="1">
      <alignment vertical="top" wrapText="1"/>
    </xf>
    <xf numFmtId="0" fontId="4" fillId="0" borderId="3" xfId="0" applyFont="1" applyBorder="1" applyAlignment="1">
      <alignment horizontal="left" vertical="center" wrapText="1"/>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3" borderId="9" xfId="0" applyFont="1" applyFill="1" applyBorder="1" applyAlignment="1">
      <alignment horizontal="left" vertical="top" wrapText="1"/>
    </xf>
    <xf numFmtId="0" fontId="4" fillId="0" borderId="14" xfId="0" applyFont="1" applyBorder="1" applyAlignment="1">
      <alignment horizontal="left" vertical="center"/>
    </xf>
    <xf numFmtId="0" fontId="4" fillId="3" borderId="1" xfId="0" applyFont="1" applyFill="1" applyBorder="1" applyAlignment="1" applyProtection="1">
      <alignment horizontal="center" vertical="top" wrapText="1"/>
      <protection locked="0"/>
    </xf>
    <xf numFmtId="0" fontId="4" fillId="3" borderId="5" xfId="0" applyFont="1" applyFill="1" applyBorder="1" applyAlignment="1" applyProtection="1">
      <alignment horizontal="center" vertical="top" wrapText="1"/>
      <protection locked="0"/>
    </xf>
    <xf numFmtId="0" fontId="4" fillId="3" borderId="13" xfId="0" applyFont="1" applyFill="1" applyBorder="1" applyAlignment="1" applyProtection="1">
      <alignment horizontal="center" vertical="top" wrapText="1"/>
      <protection locked="0"/>
    </xf>
    <xf numFmtId="0" fontId="4" fillId="3" borderId="1" xfId="0" applyFont="1" applyFill="1" applyBorder="1" applyAlignment="1" applyProtection="1">
      <alignment horizontal="left" vertical="center" wrapText="1"/>
      <protection locked="0"/>
    </xf>
    <xf numFmtId="0" fontId="4" fillId="3" borderId="13" xfId="0" applyFont="1" applyFill="1" applyBorder="1" applyAlignment="1" applyProtection="1">
      <alignment horizontal="left" vertical="center" wrapText="1"/>
      <protection locked="0"/>
    </xf>
    <xf numFmtId="0" fontId="4" fillId="6" borderId="1" xfId="0" applyFont="1" applyFill="1" applyBorder="1" applyAlignment="1" applyProtection="1">
      <alignment horizontal="left" vertical="center" wrapText="1"/>
      <protection locked="0"/>
    </xf>
    <xf numFmtId="0" fontId="4" fillId="6" borderId="13" xfId="0" applyFont="1" applyFill="1" applyBorder="1" applyAlignment="1" applyProtection="1">
      <alignment horizontal="left" vertical="center" wrapText="1"/>
      <protection locked="0"/>
    </xf>
    <xf numFmtId="0" fontId="4" fillId="3" borderId="1"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6" borderId="13"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top" wrapText="1"/>
      <protection locked="0"/>
    </xf>
    <xf numFmtId="0" fontId="4" fillId="6" borderId="13" xfId="0" applyFont="1" applyFill="1" applyBorder="1" applyAlignment="1" applyProtection="1">
      <alignment horizontal="center" vertical="top" wrapText="1"/>
      <protection locked="0"/>
    </xf>
    <xf numFmtId="0" fontId="66" fillId="0" borderId="1" xfId="0" applyFont="1" applyBorder="1" applyAlignment="1">
      <alignment horizontal="center" vertical="center" wrapText="1"/>
    </xf>
    <xf numFmtId="0" fontId="66" fillId="0" borderId="13" xfId="0" applyFont="1" applyBorder="1" applyAlignment="1">
      <alignment horizontal="center" vertical="center" wrapText="1"/>
    </xf>
    <xf numFmtId="0" fontId="67" fillId="9" borderId="1" xfId="0" applyFont="1" applyFill="1" applyBorder="1" applyAlignment="1">
      <alignment horizontal="center" vertical="center" wrapText="1"/>
    </xf>
    <xf numFmtId="0" fontId="67" fillId="9" borderId="13" xfId="0" applyFont="1" applyFill="1" applyBorder="1" applyAlignment="1">
      <alignment horizontal="center" vertical="center" wrapText="1"/>
    </xf>
    <xf numFmtId="0" fontId="67" fillId="0" borderId="1" xfId="0" applyFont="1" applyBorder="1" applyAlignment="1">
      <alignment horizontal="center" vertical="center" wrapText="1"/>
    </xf>
    <xf numFmtId="0" fontId="67" fillId="0" borderId="13" xfId="0" applyFont="1" applyBorder="1" applyAlignment="1">
      <alignment horizontal="center" vertical="center" wrapText="1"/>
    </xf>
    <xf numFmtId="0" fontId="66" fillId="0" borderId="14" xfId="0" applyFont="1" applyBorder="1" applyAlignment="1">
      <alignment horizontal="center" vertical="top" wrapText="1"/>
    </xf>
    <xf numFmtId="0" fontId="66" fillId="0" borderId="15" xfId="0" applyFont="1" applyBorder="1" applyAlignment="1">
      <alignment horizontal="center" vertical="top" wrapText="1"/>
    </xf>
    <xf numFmtId="0" fontId="66" fillId="0" borderId="7" xfId="0" applyFont="1" applyBorder="1" applyAlignment="1">
      <alignment horizontal="center" vertical="top" wrapText="1"/>
    </xf>
    <xf numFmtId="0" fontId="67" fillId="0" borderId="5" xfId="0" applyFont="1" applyBorder="1" applyAlignment="1">
      <alignment horizontal="center" vertical="center" wrapText="1"/>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4" fillId="0" borderId="29" xfId="0" applyFont="1" applyBorder="1" applyAlignment="1">
      <alignment horizontal="left" vertical="center" wrapText="1"/>
    </xf>
    <xf numFmtId="0" fontId="4" fillId="0" borderId="5" xfId="0" applyFont="1" applyBorder="1" applyAlignment="1">
      <alignment horizontal="left" vertical="center" wrapText="1"/>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65" fillId="0" borderId="1" xfId="0" applyFont="1" applyBorder="1" applyAlignment="1">
      <alignment vertical="center" wrapText="1"/>
    </xf>
    <xf numFmtId="0" fontId="65" fillId="0" borderId="13" xfId="0" applyFont="1" applyBorder="1" applyAlignment="1">
      <alignment vertical="center" wrapText="1"/>
    </xf>
    <xf numFmtId="0" fontId="65" fillId="0" borderId="14" xfId="0" applyFont="1" applyBorder="1" applyAlignment="1">
      <alignment vertical="center" wrapText="1"/>
    </xf>
    <xf numFmtId="0" fontId="65" fillId="0" borderId="15" xfId="0" applyFont="1" applyBorder="1" applyAlignment="1">
      <alignment vertical="center" wrapText="1"/>
    </xf>
    <xf numFmtId="0" fontId="65" fillId="0" borderId="7" xfId="0" applyFont="1" applyBorder="1" applyAlignment="1">
      <alignment vertical="center" wrapText="1"/>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54" fillId="0" borderId="1" xfId="0" applyFont="1" applyBorder="1" applyAlignment="1">
      <alignment horizontal="center" vertical="center" wrapText="1"/>
    </xf>
    <xf numFmtId="0" fontId="54" fillId="0" borderId="5"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7" xfId="0" applyFont="1" applyBorder="1" applyAlignment="1">
      <alignment horizontal="center" vertical="center" wrapText="1"/>
    </xf>
    <xf numFmtId="0" fontId="54" fillId="0" borderId="9" xfId="0" applyFont="1" applyBorder="1" applyAlignment="1">
      <alignment horizontal="center" vertical="center" wrapText="1"/>
    </xf>
    <xf numFmtId="0" fontId="4" fillId="0" borderId="6"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5" xfId="0" applyFont="1" applyBorder="1" applyAlignment="1">
      <alignment horizontal="center" vertical="center" wrapText="1"/>
    </xf>
    <xf numFmtId="0" fontId="3" fillId="0" borderId="1" xfId="0" applyFont="1" applyBorder="1" applyAlignment="1">
      <alignment horizontal="center" vertical="top"/>
    </xf>
    <xf numFmtId="0" fontId="3" fillId="0" borderId="5" xfId="0" applyFont="1" applyBorder="1" applyAlignment="1">
      <alignment horizontal="center" vertical="top"/>
    </xf>
    <xf numFmtId="0" fontId="3" fillId="0" borderId="13" xfId="0" applyFont="1" applyBorder="1" applyAlignment="1">
      <alignment horizontal="center" vertical="top"/>
    </xf>
    <xf numFmtId="0" fontId="3" fillId="0" borderId="14" xfId="0" applyFont="1" applyBorder="1" applyAlignment="1">
      <alignment vertical="top"/>
    </xf>
    <xf numFmtId="0" fontId="3" fillId="0" borderId="7" xfId="0" applyFont="1" applyBorder="1" applyAlignment="1">
      <alignment vertical="top"/>
    </xf>
    <xf numFmtId="0" fontId="51" fillId="3" borderId="18" xfId="0" applyFont="1" applyFill="1" applyBorder="1" applyAlignment="1" applyProtection="1">
      <alignment horizontal="left" vertical="top" wrapText="1"/>
      <protection locked="0"/>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0" fontId="66" fillId="0" borderId="5" xfId="0" applyFont="1" applyBorder="1" applyAlignment="1">
      <alignment horizontal="center" vertical="center" wrapText="1"/>
    </xf>
    <xf numFmtId="0" fontId="66" fillId="0" borderId="14"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7" xfId="0" applyFont="1" applyBorder="1" applyAlignment="1">
      <alignment horizontal="center" vertical="center" wrapText="1"/>
    </xf>
    <xf numFmtId="0" fontId="4" fillId="0" borderId="6" xfId="0" applyFont="1" applyBorder="1" applyAlignment="1">
      <alignment horizontal="center" vertical="top"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7" xfId="0" applyFont="1" applyBorder="1" applyAlignment="1">
      <alignment horizontal="center" vertical="center" wrapText="1"/>
    </xf>
    <xf numFmtId="0" fontId="3" fillId="3" borderId="14" xfId="0" applyFont="1" applyFill="1" applyBorder="1" applyAlignment="1">
      <alignment horizontal="left" vertical="top" wrapText="1"/>
    </xf>
    <xf numFmtId="0" fontId="3" fillId="3" borderId="15" xfId="0" applyFont="1" applyFill="1" applyBorder="1" applyAlignment="1">
      <alignment horizontal="left" vertical="top" wrapText="1"/>
    </xf>
    <xf numFmtId="0" fontId="3" fillId="3" borderId="7" xfId="0" applyFont="1" applyFill="1" applyBorder="1" applyAlignment="1">
      <alignment horizontal="left" vertical="top" wrapText="1"/>
    </xf>
    <xf numFmtId="0" fontId="27" fillId="0" borderId="0" xfId="0" applyFont="1" applyAlignment="1" applyProtection="1">
      <alignment horizontal="left" vertical="top" wrapText="1"/>
      <protection locked="0"/>
    </xf>
    <xf numFmtId="0" fontId="4" fillId="0" borderId="14" xfId="0" applyFont="1" applyBorder="1" applyAlignment="1">
      <alignment horizontal="center" vertical="top" wrapText="1"/>
    </xf>
    <xf numFmtId="0" fontId="4" fillId="0" borderId="7" xfId="0" applyFont="1" applyBorder="1" applyAlignment="1">
      <alignment horizontal="center" vertical="top" wrapText="1"/>
    </xf>
    <xf numFmtId="0" fontId="4" fillId="0" borderId="15" xfId="0" applyFont="1" applyBorder="1" applyAlignment="1">
      <alignment horizontal="center" vertical="top" wrapText="1"/>
    </xf>
    <xf numFmtId="0" fontId="3" fillId="0" borderId="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3" xfId="0" applyFont="1" applyBorder="1" applyAlignment="1">
      <alignment horizontal="center" vertical="center" wrapText="1"/>
    </xf>
    <xf numFmtId="0" fontId="3" fillId="3" borderId="14" xfId="0" applyFont="1" applyFill="1" applyBorder="1" applyAlignment="1" applyProtection="1">
      <alignment horizontal="left" vertical="top" wrapText="1"/>
      <protection locked="0"/>
    </xf>
    <xf numFmtId="0" fontId="3" fillId="3" borderId="15" xfId="0" applyFont="1" applyFill="1" applyBorder="1" applyAlignment="1" applyProtection="1">
      <alignment horizontal="left" vertical="top" wrapText="1"/>
      <protection locked="0"/>
    </xf>
    <xf numFmtId="0" fontId="3" fillId="3" borderId="7"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37" borderId="14" xfId="0" applyFont="1" applyFill="1" applyBorder="1" applyAlignment="1">
      <alignment vertical="top" wrapText="1"/>
    </xf>
    <xf numFmtId="0" fontId="3" fillId="37" borderId="15" xfId="0" applyFont="1" applyFill="1" applyBorder="1" applyAlignment="1">
      <alignment vertical="top" wrapText="1"/>
    </xf>
    <xf numFmtId="0" fontId="3" fillId="37" borderId="7" xfId="0" applyFont="1" applyFill="1" applyBorder="1" applyAlignment="1">
      <alignment vertical="top" wrapText="1"/>
    </xf>
    <xf numFmtId="0" fontId="26" fillId="0" borderId="10" xfId="0" applyFont="1" applyBorder="1" applyAlignment="1">
      <alignment vertical="top" wrapText="1"/>
    </xf>
    <xf numFmtId="0" fontId="26" fillId="0" borderId="11" xfId="0" applyFont="1" applyBorder="1" applyAlignment="1">
      <alignment vertical="top" wrapText="1"/>
    </xf>
    <xf numFmtId="0" fontId="26" fillId="0" borderId="8" xfId="0" applyFont="1" applyBorder="1" applyAlignment="1">
      <alignment vertical="top"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22" fillId="37" borderId="14" xfId="0" applyFont="1" applyFill="1" applyBorder="1" applyAlignment="1">
      <alignment horizontal="left"/>
    </xf>
    <xf numFmtId="0" fontId="22" fillId="37" borderId="15" xfId="0" applyFont="1" applyFill="1" applyBorder="1" applyAlignment="1">
      <alignment horizontal="left"/>
    </xf>
    <xf numFmtId="0" fontId="22" fillId="37" borderId="7" xfId="0" applyFont="1" applyFill="1" applyBorder="1" applyAlignment="1">
      <alignment horizontal="left"/>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14" fillId="0" borderId="18" xfId="0" applyFont="1" applyBorder="1" applyAlignment="1" applyProtection="1">
      <alignment horizontal="left" vertical="top" wrapText="1"/>
      <protection locked="0"/>
    </xf>
    <xf numFmtId="0" fontId="14" fillId="0" borderId="19" xfId="0" applyFont="1" applyBorder="1" applyAlignment="1" applyProtection="1">
      <alignment horizontal="left" vertical="top" wrapText="1"/>
      <protection locked="0"/>
    </xf>
    <xf numFmtId="0" fontId="14" fillId="0" borderId="20" xfId="0" applyFont="1" applyBorder="1" applyAlignment="1" applyProtection="1">
      <alignment horizontal="left" vertical="top" wrapText="1"/>
      <protection locked="0"/>
    </xf>
    <xf numFmtId="0" fontId="4" fillId="3" borderId="10" xfId="0" applyFont="1" applyFill="1" applyBorder="1" applyAlignment="1" applyProtection="1">
      <alignment horizontal="left" vertical="center" wrapText="1"/>
      <protection locked="0"/>
    </xf>
    <xf numFmtId="0" fontId="4" fillId="3" borderId="8" xfId="0" applyFont="1" applyFill="1" applyBorder="1" applyAlignment="1" applyProtection="1">
      <alignment horizontal="left" vertical="center" wrapText="1"/>
      <protection locked="0"/>
    </xf>
    <xf numFmtId="0" fontId="4" fillId="3" borderId="10" xfId="0" applyFont="1" applyFill="1" applyBorder="1" applyAlignment="1" applyProtection="1">
      <alignment horizontal="left" vertical="top" wrapText="1"/>
      <protection locked="0"/>
    </xf>
    <xf numFmtId="0" fontId="4" fillId="3" borderId="8" xfId="0" applyFont="1" applyFill="1" applyBorder="1" applyAlignment="1" applyProtection="1">
      <alignment horizontal="left" vertical="top" wrapText="1"/>
      <protection locked="0"/>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vertical="top"/>
    </xf>
    <xf numFmtId="0" fontId="4" fillId="0" borderId="17" xfId="0" applyFont="1" applyBorder="1" applyAlignment="1">
      <alignment vertical="top"/>
    </xf>
    <xf numFmtId="0" fontId="4" fillId="3" borderId="14" xfId="0" applyFont="1" applyFill="1" applyBorder="1" applyAlignment="1" applyProtection="1">
      <alignment horizontal="left" vertical="top" wrapText="1"/>
      <protection locked="0"/>
    </xf>
    <xf numFmtId="0" fontId="4" fillId="3" borderId="15" xfId="0" applyFont="1" applyFill="1" applyBorder="1" applyAlignment="1" applyProtection="1">
      <alignment horizontal="left" vertical="top" wrapText="1"/>
      <protection locked="0"/>
    </xf>
    <xf numFmtId="0" fontId="4" fillId="3" borderId="7" xfId="0" applyFont="1" applyFill="1" applyBorder="1" applyAlignment="1" applyProtection="1">
      <alignment horizontal="left" vertical="top" wrapText="1"/>
      <protection locked="0"/>
    </xf>
    <xf numFmtId="0" fontId="4" fillId="17" borderId="9" xfId="0" applyFont="1" applyFill="1" applyBorder="1" applyAlignment="1">
      <alignment vertical="top" wrapText="1"/>
    </xf>
    <xf numFmtId="0" fontId="4" fillId="17" borderId="0" xfId="0" applyFont="1" applyFill="1" applyAlignment="1">
      <alignment vertical="top" wrapText="1"/>
    </xf>
    <xf numFmtId="0" fontId="4" fillId="17" borderId="0" xfId="0" applyFont="1" applyFill="1" applyAlignment="1">
      <alignment horizontal="left" vertical="center" wrapText="1"/>
    </xf>
    <xf numFmtId="0" fontId="4" fillId="17" borderId="6" xfId="0" applyFont="1" applyFill="1" applyBorder="1" applyAlignment="1">
      <alignment horizontal="left" vertical="center" wrapText="1"/>
    </xf>
    <xf numFmtId="0" fontId="0" fillId="3" borderId="27" xfId="0" applyFill="1" applyBorder="1" applyAlignment="1" applyProtection="1">
      <alignment horizontal="left" vertical="top"/>
      <protection hidden="1"/>
    </xf>
    <xf numFmtId="0" fontId="0" fillId="3" borderId="0" xfId="0" applyFill="1" applyAlignment="1" applyProtection="1">
      <alignment horizontal="left" vertical="top"/>
      <protection hidden="1"/>
    </xf>
    <xf numFmtId="0" fontId="12" fillId="0" borderId="9" xfId="0" applyFont="1" applyBorder="1" applyAlignment="1">
      <alignment horizontal="center" vertical="top" wrapText="1"/>
    </xf>
    <xf numFmtId="0" fontId="12" fillId="0" borderId="0" xfId="0" applyFont="1" applyAlignment="1">
      <alignment horizontal="center" vertical="top" wrapText="1"/>
    </xf>
    <xf numFmtId="0" fontId="52" fillId="9" borderId="9" xfId="0" applyFont="1" applyFill="1" applyBorder="1" applyAlignment="1">
      <alignment horizontal="center" wrapText="1"/>
    </xf>
    <xf numFmtId="0" fontId="52" fillId="9" borderId="6" xfId="0" applyFont="1" applyFill="1" applyBorder="1" applyAlignment="1">
      <alignment horizontal="center" wrapText="1"/>
    </xf>
    <xf numFmtId="0" fontId="4" fillId="3" borderId="10" xfId="0" applyFont="1" applyFill="1" applyBorder="1" applyAlignment="1" applyProtection="1">
      <alignment horizontal="center" vertical="center"/>
      <protection locked="0"/>
    </xf>
    <xf numFmtId="0" fontId="4" fillId="3" borderId="8" xfId="0" applyFont="1" applyFill="1" applyBorder="1" applyAlignment="1" applyProtection="1">
      <alignment horizontal="center" vertical="center"/>
      <protection locked="0"/>
    </xf>
    <xf numFmtId="0" fontId="4" fillId="3" borderId="10"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4" fillId="0" borderId="13" xfId="0" applyFont="1" applyBorder="1" applyAlignment="1" applyProtection="1">
      <alignment vertical="center" wrapText="1"/>
      <protection locked="0"/>
    </xf>
    <xf numFmtId="0" fontId="4" fillId="0" borderId="5" xfId="0" applyFont="1" applyBorder="1" applyAlignment="1">
      <alignment horizontal="center" vertical="center"/>
    </xf>
    <xf numFmtId="0" fontId="4" fillId="0" borderId="5" xfId="0" applyFont="1" applyBorder="1" applyAlignment="1" applyProtection="1">
      <alignment vertical="center" wrapText="1"/>
      <protection locked="0"/>
    </xf>
    <xf numFmtId="0" fontId="12" fillId="0" borderId="14" xfId="0" applyFont="1" applyBorder="1" applyAlignment="1" applyProtection="1">
      <alignment vertical="center" wrapText="1"/>
      <protection locked="0"/>
    </xf>
    <xf numFmtId="0" fontId="12" fillId="0" borderId="15" xfId="0" applyFont="1" applyBorder="1" applyAlignment="1" applyProtection="1">
      <alignment vertical="center" wrapText="1"/>
      <protection locked="0"/>
    </xf>
    <xf numFmtId="0" fontId="12" fillId="0" borderId="7" xfId="0" applyFont="1" applyBorder="1" applyAlignment="1" applyProtection="1">
      <alignment vertical="center" wrapText="1"/>
      <protection locked="0"/>
    </xf>
    <xf numFmtId="0" fontId="3" fillId="3" borderId="2"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left" vertical="center" wrapText="1"/>
      <protection locked="0"/>
    </xf>
    <xf numFmtId="0" fontId="3" fillId="3" borderId="4" xfId="0" applyFont="1" applyFill="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protection locked="0"/>
    </xf>
    <xf numFmtId="0" fontId="4" fillId="0" borderId="14" xfId="0" applyFont="1" applyBorder="1" applyAlignment="1">
      <alignment vertical="center"/>
    </xf>
    <xf numFmtId="0" fontId="4" fillId="0" borderId="7" xfId="0" applyFont="1" applyBorder="1" applyAlignment="1">
      <alignment vertical="center"/>
    </xf>
    <xf numFmtId="0" fontId="4" fillId="0" borderId="14" xfId="0" applyFont="1" applyBorder="1" applyAlignment="1" applyProtection="1">
      <alignment vertical="center" wrapText="1"/>
      <protection locked="0"/>
    </xf>
    <xf numFmtId="0" fontId="4" fillId="0" borderId="15" xfId="0" applyFont="1" applyBorder="1" applyAlignment="1" applyProtection="1">
      <alignment vertical="center" wrapText="1"/>
      <protection locked="0"/>
    </xf>
    <xf numFmtId="0" fontId="4" fillId="0" borderId="7" xfId="0" applyFont="1" applyBorder="1" applyAlignment="1" applyProtection="1">
      <alignment vertical="center" wrapText="1"/>
      <protection locked="0"/>
    </xf>
    <xf numFmtId="0" fontId="0" fillId="0" borderId="27" xfId="0" applyBorder="1" applyAlignment="1" applyProtection="1">
      <alignment horizontal="left" vertical="center"/>
      <protection hidden="1"/>
    </xf>
    <xf numFmtId="0" fontId="0" fillId="0" borderId="0" xfId="0" applyAlignment="1" applyProtection="1">
      <alignment horizontal="left" vertical="center"/>
      <protection hidden="1"/>
    </xf>
    <xf numFmtId="0" fontId="0" fillId="0" borderId="27"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27" fillId="0" borderId="0" xfId="0" applyFont="1" applyAlignment="1" applyProtection="1">
      <alignment horizontal="left" vertical="center" wrapText="1"/>
      <protection locked="0"/>
    </xf>
  </cellXfs>
  <cellStyles count="18">
    <cellStyle name="Bueno" xfId="1" builtinId="26"/>
    <cellStyle name="Hipervínculo" xfId="2" builtinId="8"/>
    <cellStyle name="Millares" xfId="4" builtinId="3"/>
    <cellStyle name="Millares [0] 2" xfId="6" xr:uid="{00000000-0005-0000-0000-000003000000}"/>
    <cellStyle name="Millares [0] 2 2" xfId="9" xr:uid="{00000000-0005-0000-0000-000004000000}"/>
    <cellStyle name="Millares 2" xfId="7" xr:uid="{00000000-0005-0000-0000-000005000000}"/>
    <cellStyle name="Millares 2 2" xfId="10" xr:uid="{00000000-0005-0000-0000-000006000000}"/>
    <cellStyle name="Millares 3" xfId="8" xr:uid="{00000000-0005-0000-0000-000007000000}"/>
    <cellStyle name="Moneda" xfId="11" builtinId="4"/>
    <cellStyle name="Moneda 2" xfId="13" xr:uid="{5F50BF46-4980-4FBB-B9F3-16003B083DB5}"/>
    <cellStyle name="Normal" xfId="0" builtinId="0"/>
    <cellStyle name="Normal 2" xfId="5" xr:uid="{00000000-0005-0000-0000-000009000000}"/>
    <cellStyle name="Normal 3" xfId="14" xr:uid="{E05C5C45-86E3-40C7-AE17-31AA86923AB5}"/>
    <cellStyle name="Normal 5" xfId="12" xr:uid="{D3B0B298-93AC-4BBA-B4F6-4D13AEA51969}"/>
    <cellStyle name="Normal 5 2" xfId="15" xr:uid="{E52AC537-4AE8-44D0-91EB-F19232668A79}"/>
    <cellStyle name="Normal 6" xfId="16" xr:uid="{9C227455-0A76-411F-8221-43B52C59567F}"/>
    <cellStyle name="Porcentaje" xfId="3" builtinId="5"/>
    <cellStyle name="Porcentaje 2" xfId="17" xr:uid="{DD1D6DD3-BAAC-4CFB-8745-8805C9073FBC}"/>
  </cellStyles>
  <dxfs count="12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s>
  <tableStyles count="0" defaultTableStyle="TableStyleMedium2" defaultPivotStyle="PivotStyleLight16"/>
  <colors>
    <mruColors>
      <color rgb="FF99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pt>
    <dgm:pt modelId="{E6E34545-7A70-45F5-AF30-5300FEAF0CB4}" type="pres">
      <dgm:prSet presAssocID="{2CB7F8B1-2637-4408-9185-3A95A2E4D4D4}" presName="parentText" presStyleLbl="node1" presStyleIdx="0" presStyleCnt="7">
        <dgm:presLayoutVars>
          <dgm:chMax val="0"/>
          <dgm:bulletEnabled val="1"/>
        </dgm:presLayoutVars>
      </dgm:prSet>
      <dgm:spPr/>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pt>
  </dgm:ptLst>
  <dgm:cxnLst>
    <dgm:cxn modelId="{86BCD402-AC25-4EFC-9A1D-FA632AC7B6B7}" type="presOf" srcId="{D67F9A5A-5E88-44A1-939C-135CE3AF4041}" destId="{514BAA5A-25A1-407B-9E98-4F585743FC17}" srcOrd="1" destOrd="0" presId="urn:microsoft.com/office/officeart/2005/8/layout/list1"/>
    <dgm:cxn modelId="{86FF9304-A88E-4E74-AECB-FD793CD64EBE}" srcId="{717ECC8B-6813-4A27-9DC1-A0349E570257}" destId="{90932CD4-98AF-4D20-B3A5-3F4217DAB33C}" srcOrd="0" destOrd="0" parTransId="{D4A14047-4231-4EAE-82B4-884A078437F6}" sibTransId="{678DBBEA-15F8-4CEC-BE62-3B0B23BED2F8}"/>
    <dgm:cxn modelId="{1FF54305-BFB2-4855-ACDA-8F153FA4F52D}" type="presOf" srcId="{8069E184-766F-4E8B-A1E8-51EDBCF8B787}" destId="{8FFBFEAB-4C29-43E1-9195-E019257224C0}" srcOrd="0" destOrd="0" presId="urn:microsoft.com/office/officeart/2005/8/layout/list1"/>
    <dgm:cxn modelId="{39949B06-98CA-426A-A4A6-EA0210D2BAFD}" type="presOf" srcId="{DCD48D7A-4B03-4423-8CB5-5C5D79405805}" destId="{1DEF4F99-0D10-4E54-A0BF-F9524F830250}" srcOrd="0" destOrd="0" presId="urn:microsoft.com/office/officeart/2005/8/layout/list1"/>
    <dgm:cxn modelId="{09C94807-2443-4E06-A6A2-8ACA048AF36F}" type="presOf" srcId="{0E652C00-4F5E-4225-B0DE-1E16E467F052}" destId="{4E9F94DE-8CF1-4FE7-9A6B-53CB416743FC}" srcOrd="1" destOrd="0" presId="urn:microsoft.com/office/officeart/2005/8/layout/list1"/>
    <dgm:cxn modelId="{E56EA914-32FC-4F01-AE21-F02AF3BAD451}" srcId="{DCD48D7A-4B03-4423-8CB5-5C5D79405805}" destId="{D67F9A5A-5E88-44A1-939C-135CE3AF4041}" srcOrd="3" destOrd="0" parTransId="{147BBB2B-EBFD-43A6-B289-2DA32B306280}" sibTransId="{5865B6AA-9A9D-46ED-B85D-61C566F91B2B}"/>
    <dgm:cxn modelId="{84B27017-A550-4955-B34A-A6F39E2DEC14}" srcId="{38D6ECF3-9DC0-4FA5-AA85-AE678086D86F}" destId="{7AD3D970-693A-46CB-93F2-8719BB4A2138}" srcOrd="0" destOrd="0" parTransId="{76659B4B-2119-4F3E-A632-F083A9E2AF61}" sibTransId="{004D6EF7-97F6-4EB3-9B3E-229E15C08DFD}"/>
    <dgm:cxn modelId="{81798117-7F32-4512-A9BE-FB15A365DCF2}" type="presOf" srcId="{477C0414-2F64-47A3-9675-FE2E4F8C4A83}" destId="{06ACE6F8-0FA9-44AE-BA37-8718AB57D422}" srcOrd="0" destOrd="3" presId="urn:microsoft.com/office/officeart/2005/8/layout/list1"/>
    <dgm:cxn modelId="{DF270C1B-8DAC-4DC2-9C2B-404524166343}" srcId="{DCD48D7A-4B03-4423-8CB5-5C5D79405805}" destId="{2CB7F8B1-2637-4408-9185-3A95A2E4D4D4}" srcOrd="0" destOrd="0" parTransId="{64144A9E-10F1-4862-BFC7-09D5896ACB2E}" sibTransId="{1E2C00AA-92AD-4DFD-ADBE-9EE00E1BF72B}"/>
    <dgm:cxn modelId="{228A001C-DFEF-4BA8-8945-6B052FD3DB06}" srcId="{DCD48D7A-4B03-4423-8CB5-5C5D79405805}" destId="{38D6ECF3-9DC0-4FA5-AA85-AE678086D86F}" srcOrd="6" destOrd="0" parTransId="{CA07B11D-A281-4474-956D-CE017D55096D}" sibTransId="{23F1DCF5-3AF5-46F5-8EBA-1B227FFDA68A}"/>
    <dgm:cxn modelId="{64B9461D-EAC6-4AD6-8946-7E802054283C}" srcId="{D67F9A5A-5E88-44A1-939C-135CE3AF4041}" destId="{CF379588-8D99-446E-9DA3-7D31B1AC5467}" srcOrd="0" destOrd="0" parTransId="{C53496FF-16AA-4B86-9A97-C210D3425615}" sibTransId="{FA04A515-77A5-47E1-9A21-427002F75BBD}"/>
    <dgm:cxn modelId="{0F5FD01F-7C50-4552-ACA8-1BCD7B93BC0C}" type="presOf" srcId="{275C1FC4-3E17-4EB7-B629-3B18A2C22A68}" destId="{3BC1BA34-3099-48F7-ADCC-C59CA8F05523}" srcOrd="0" destOrd="5" presId="urn:microsoft.com/office/officeart/2005/8/layout/list1"/>
    <dgm:cxn modelId="{ABA36423-4ADF-4BC2-B9D4-4551354C1F10}" srcId="{DCD48D7A-4B03-4423-8CB5-5C5D79405805}" destId="{0E652C00-4F5E-4225-B0DE-1E16E467F052}" srcOrd="5" destOrd="0" parTransId="{6B4BA892-C7B2-40DA-97EE-3611027033ED}" sibTransId="{49049186-C28C-4B3F-A75E-A3310F719D8A}"/>
    <dgm:cxn modelId="{C7F3AF26-7028-4FBC-A3B8-442CFA4F4A7F}" type="presOf" srcId="{4A7800C9-7D3D-4FD3-A0C8-055EA574631C}" destId="{3BC1BA34-3099-48F7-ADCC-C59CA8F05523}" srcOrd="0" destOrd="1" presId="urn:microsoft.com/office/officeart/2005/8/layout/list1"/>
    <dgm:cxn modelId="{FAE50C2E-D4BD-46F3-ACBD-9DE02637A7D6}" srcId="{CF4F553E-C1BC-4366-8D1F-2538C739F34D}" destId="{C14DAE80-C9AD-4DF2-AB00-76A03871C660}" srcOrd="0" destOrd="0" parTransId="{1B35EC25-3A5D-44C3-8EC6-1F67B5E94F65}" sibTransId="{EB3C29DE-5BFD-45F2-B15E-ED5B03F68740}"/>
    <dgm:cxn modelId="{3F409E34-BFAE-45FE-A027-0ABAC99B8A84}" srcId="{38D6ECF3-9DC0-4FA5-AA85-AE678086D86F}" destId="{92E8A65F-F99F-488E-AF0A-565C72278797}" srcOrd="1" destOrd="0" parTransId="{66E38FC8-C18A-470F-A205-AE2365A9DE78}" sibTransId="{B79C7341-D380-4E6F-A6A3-3F12A56CC081}"/>
    <dgm:cxn modelId="{E923423D-189A-42D5-94FC-8E1EFC60C632}" type="presOf" srcId="{D49A736D-D090-4C3F-B7C8-90E12189F4E6}" destId="{35D5CD7D-3A20-4EB8-B442-65E54571D39E}" srcOrd="0" destOrd="0" presId="urn:microsoft.com/office/officeart/2005/8/layout/list1"/>
    <dgm:cxn modelId="{3BF7423E-3DB0-4A87-A18C-2FC41867B2B4}" srcId="{8069E184-766F-4E8B-A1E8-51EDBCF8B787}" destId="{4E33CAE3-BFA7-460A-ADA1-9740AF500CD1}" srcOrd="0" destOrd="0" parTransId="{9DB4B8DC-C792-4F88-B9F0-3F8C466B68ED}" sibTransId="{4C4701A6-649F-4B75-8728-83D55A5A5663}"/>
    <dgm:cxn modelId="{6E3F353F-69A6-470A-90DF-68C45401EC8C}" type="presOf" srcId="{CF4F553E-C1BC-4366-8D1F-2538C739F34D}" destId="{96E24B0A-8F37-4257-B7B3-645FB1DA6A85}"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387F9B62-BA72-46DA-93B7-D805807BFC03}" srcId="{717ECC8B-6813-4A27-9DC1-A0349E570257}" destId="{275C1FC4-3E17-4EB7-B629-3B18A2C22A68}" srcOrd="5" destOrd="0" parTransId="{47FF5181-689E-402C-BA5E-A7F036D82964}" sibTransId="{BD9B50B6-A249-4B4C-A504-6B8A26A3E4B7}"/>
    <dgm:cxn modelId="{66F80349-2184-4386-B9D3-B0DFF876CB84}" srcId="{0E652C00-4F5E-4225-B0DE-1E16E467F052}" destId="{6632AE42-4A3F-47A4-991F-05B67D9E15A4}" srcOrd="1" destOrd="0" parTransId="{EA24CD28-DA30-489E-812A-8D006AD804E2}" sibTransId="{413A0DEC-0431-4D0A-9CF6-9F28DD448962}"/>
    <dgm:cxn modelId="{91767749-E65F-449F-BD07-C9B78444673B}" type="presOf" srcId="{8069E184-766F-4E8B-A1E8-51EDBCF8B787}" destId="{C4175353-957F-4B0A-882A-9D65932C4C45}" srcOrd="1" destOrd="0" presId="urn:microsoft.com/office/officeart/2005/8/layout/list1"/>
    <dgm:cxn modelId="{14F3064A-33D5-4A50-A94F-22EB976BA100}" type="presOf" srcId="{789B5BC8-288B-4DDA-AB25-039F66BEA3B1}" destId="{35D5CD7D-3A20-4EB8-B442-65E54571D39E}" srcOrd="0" destOrd="1" presId="urn:microsoft.com/office/officeart/2005/8/layout/list1"/>
    <dgm:cxn modelId="{31AA144C-E5AF-41D8-8CB7-8A2D48F310D0}" type="presOf" srcId="{51776FAA-A67F-43C9-93A9-09460B1195D0}" destId="{06ACE6F8-0FA9-44AE-BA37-8718AB57D422}" srcOrd="0" destOrd="2" presId="urn:microsoft.com/office/officeart/2005/8/layout/list1"/>
    <dgm:cxn modelId="{47FA276C-8AB9-4C50-93CB-3C240B93E4C4}" srcId="{8069E184-766F-4E8B-A1E8-51EDBCF8B787}" destId="{C8F6D009-A118-4555-A677-CBA61BF6F0D5}" srcOrd="2" destOrd="0" parTransId="{C71E5930-069B-45A4-B7EB-02FF81630C0E}" sibTransId="{EC10895F-10B2-42FD-BCC8-4993E1130164}"/>
    <dgm:cxn modelId="{3673614D-FB3D-4D84-B4D5-C1C1FEB93DC6}" srcId="{D67F9A5A-5E88-44A1-939C-135CE3AF4041}" destId="{477C0414-2F64-47A3-9675-FE2E4F8C4A83}" srcOrd="3" destOrd="0" parTransId="{211F0972-F335-42CF-8898-D6AD2F24BDF4}" sibTransId="{8249E61B-7B06-45EC-87B1-4624BFB202FC}"/>
    <dgm:cxn modelId="{10D3294F-F4FE-4252-AA72-A2630A60CBB1}" type="presOf" srcId="{CF4F553E-C1BC-4366-8D1F-2538C739F34D}" destId="{72C2FA48-4513-4CD5-8267-CAFA222E040F}" srcOrd="1" destOrd="0" presId="urn:microsoft.com/office/officeart/2005/8/layout/list1"/>
    <dgm:cxn modelId="{CBF95272-9C66-408A-9CF3-C7F12DD60BBE}" srcId="{CF4F553E-C1BC-4366-8D1F-2538C739F34D}" destId="{2DDC3C6B-EB89-41BC-9626-2C8602AFD180}" srcOrd="2" destOrd="0" parTransId="{8CA01F60-749A-4F13-A5F9-52959A1E5ACD}" sibTransId="{4EF9A5D6-D9ED-4637-A11E-A0AF0603FCE7}"/>
    <dgm:cxn modelId="{5106C352-9084-428F-ABCE-4715AAA43E33}" type="presOf" srcId="{29647C36-AD56-480A-B274-AFD85B8257AC}" destId="{77262FC2-D56C-47EC-A6D3-390D5DF0E708}" srcOrd="0" destOrd="2" presId="urn:microsoft.com/office/officeart/2005/8/layout/list1"/>
    <dgm:cxn modelId="{4C31F452-932E-4B3C-A24D-BB317566F188}" type="presOf" srcId="{08ED7DEB-8B98-40A9-9699-ACCFB829DBE2}" destId="{BEC4ABD6-0E89-47BE-B95E-5D5D71B73DA1}" srcOrd="0" destOrd="1"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56BF2655-C497-4B6B-B54F-A5D6AF560C8B}" type="presOf" srcId="{6632AE42-4A3F-47A4-991F-05B67D9E15A4}" destId="{FA8C06B1-BAA1-4827-A601-D14B18466DB6}" srcOrd="0" destOrd="1" presId="urn:microsoft.com/office/officeart/2005/8/layout/list1"/>
    <dgm:cxn modelId="{A2827875-87B0-4C3D-9E40-622962BC691D}" srcId="{DCD48D7A-4B03-4423-8CB5-5C5D79405805}" destId="{8069E184-766F-4E8B-A1E8-51EDBCF8B787}" srcOrd="1" destOrd="0" parTransId="{F64789F9-D1CE-4AFA-889E-41DC5016CFAB}" sibTransId="{93F1D987-E557-4E03-8C29-D08B5E8AAD1B}"/>
    <dgm:cxn modelId="{A43DF155-EDED-4348-8849-3FB54F8752F4}" srcId="{0E652C00-4F5E-4225-B0DE-1E16E467F052}" destId="{FDC96EDD-2D2E-424F-9793-6C67FBB810DD}" srcOrd="0" destOrd="0" parTransId="{C0F088F2-D816-422B-A598-8465D4C16265}" sibTransId="{D85BC74A-2C14-4596-B306-9B50E9FDF986}"/>
    <dgm:cxn modelId="{9515F576-512B-4C41-9F47-3A4D09823602}" type="presOf" srcId="{FDC96EDD-2D2E-424F-9793-6C67FBB810DD}" destId="{FA8C06B1-BAA1-4827-A601-D14B18466DB6}" srcOrd="0" destOrd="0" presId="urn:microsoft.com/office/officeart/2005/8/layout/list1"/>
    <dgm:cxn modelId="{F617155A-07A4-40C6-B9E5-6E820D5C2875}" srcId="{38D6ECF3-9DC0-4FA5-AA85-AE678086D86F}" destId="{29647C36-AD56-480A-B274-AFD85B8257AC}" srcOrd="2" destOrd="0" parTransId="{4CAE2BE9-B466-4310-88AB-C78BF23B7371}" sibTransId="{8B89DDF0-7CED-46E8-8F61-0B17466698FF}"/>
    <dgm:cxn modelId="{D226197F-CE6B-4E8C-8CDE-97726899C8AD}" type="presOf" srcId="{FB36F50F-332B-41E1-B818-61C37228C5CE}" destId="{4EFCDA67-9C44-44DD-A910-D775D3C6B542}" srcOrd="0" destOrd="1" presId="urn:microsoft.com/office/officeart/2005/8/layout/list1"/>
    <dgm:cxn modelId="{23E9C680-B431-4473-9AF5-E1D6CFC8BC2E}" type="presOf" srcId="{98B28FD7-1DA8-4B1D-A743-BD64C0AAE85A}" destId="{35D5CD7D-3A20-4EB8-B442-65E54571D39E}" srcOrd="0" destOrd="2" presId="urn:microsoft.com/office/officeart/2005/8/layout/list1"/>
    <dgm:cxn modelId="{6E1DD283-6A02-4C7B-967E-43E4F2241590}" srcId="{2CB7F8B1-2637-4408-9185-3A95A2E4D4D4}" destId="{D49A736D-D090-4C3F-B7C8-90E12189F4E6}" srcOrd="0" destOrd="0" parTransId="{6CB8211D-3027-42B8-8E1D-7F7CC0C2C2AF}" sibTransId="{085597EB-8A00-4F32-B9FE-6AE8F6AD66DB}"/>
    <dgm:cxn modelId="{49B31584-FEF4-4442-B336-882A9C197EAC}" type="presOf" srcId="{92E8A65F-F99F-488E-AF0A-565C72278797}" destId="{77262FC2-D56C-47EC-A6D3-390D5DF0E708}" srcOrd="0" destOrd="1" presId="urn:microsoft.com/office/officeart/2005/8/layout/list1"/>
    <dgm:cxn modelId="{72240C85-9D5C-458C-B319-EA4B04B6FA8A}" srcId="{D67F9A5A-5E88-44A1-939C-135CE3AF4041}" destId="{51776FAA-A67F-43C9-93A9-09460B1195D0}" srcOrd="2" destOrd="0" parTransId="{F49DC0A9-8665-4ADA-A379-AC107454A3ED}" sibTransId="{C8B4DFF5-5087-4292-AE4B-32507D166EBF}"/>
    <dgm:cxn modelId="{44A4FD8C-B715-4763-9E06-4EBC7F129D51}" srcId="{CF4F553E-C1BC-4366-8D1F-2538C739F34D}" destId="{FB36F50F-332B-41E1-B818-61C37228C5CE}" srcOrd="1" destOrd="0" parTransId="{1B402964-486C-4D88-B25B-BFBD3B7CB725}" sibTransId="{2F60FF59-EE81-4035-BCD0-A1A526D6233D}"/>
    <dgm:cxn modelId="{67B9198E-5C25-4F67-B9CB-41843459D987}" type="presOf" srcId="{C8F6D009-A118-4555-A677-CBA61BF6F0D5}" destId="{BEC4ABD6-0E89-47BE-B95E-5D5D71B73DA1}" srcOrd="0" destOrd="2" presId="urn:microsoft.com/office/officeart/2005/8/layout/list1"/>
    <dgm:cxn modelId="{E7A50992-9030-47C1-8E52-A2B896656A51}" type="presOf" srcId="{34106E7C-5D09-4727-92DE-E55E74AC51EE}" destId="{3BC1BA34-3099-48F7-ADCC-C59CA8F05523}" srcOrd="0" destOrd="4" presId="urn:microsoft.com/office/officeart/2005/8/layout/list1"/>
    <dgm:cxn modelId="{478F5893-B289-4B36-A04A-A02DEA40ACC3}" srcId="{8069E184-766F-4E8B-A1E8-51EDBCF8B787}" destId="{FFA71FF0-2ACD-4163-B043-1EB367B6C2B1}" srcOrd="3" destOrd="0" parTransId="{201802FC-6167-42F1-933E-394845600453}" sibTransId="{B39A6FB6-B160-47AD-A274-EF0DD243C32D}"/>
    <dgm:cxn modelId="{A8694B9B-DC05-4BB0-A409-CBB61FB7F639}" srcId="{2CB7F8B1-2637-4408-9185-3A95A2E4D4D4}" destId="{789B5BC8-288B-4DDA-AB25-039F66BEA3B1}" srcOrd="1" destOrd="0" parTransId="{20DF2F84-B159-462C-A073-B863B19CCFA9}" sibTransId="{F75FF99A-F150-48D0-B60B-5CB30D5A0E5A}"/>
    <dgm:cxn modelId="{B7FD2BA0-B80B-4666-86AB-099B7EA06341}" type="presOf" srcId="{E9D3C62B-362B-44C9-A42A-154B9DBAE91C}" destId="{FA8C06B1-BAA1-4827-A601-D14B18466DB6}" srcOrd="0" destOrd="2" presId="urn:microsoft.com/office/officeart/2005/8/layout/list1"/>
    <dgm:cxn modelId="{E88658A0-3BDE-454E-A794-8505E55DC105}" srcId="{DCD48D7A-4B03-4423-8CB5-5C5D79405805}" destId="{CF4F553E-C1BC-4366-8D1F-2538C739F34D}" srcOrd="4" destOrd="0" parTransId="{87729DE7-2820-4664-B237-4A95FE1E2F12}" sibTransId="{94558B0E-E006-4B59-8C83-CEE5060F8235}"/>
    <dgm:cxn modelId="{B6A3FAA2-72B7-4EDF-9F2B-07756CCFD145}" type="presOf" srcId="{0C7E1392-1B2E-4473-98A3-7DB95B0F3E41}" destId="{3BC1BA34-3099-48F7-ADCC-C59CA8F05523}" srcOrd="0" destOrd="3" presId="urn:microsoft.com/office/officeart/2005/8/layout/list1"/>
    <dgm:cxn modelId="{62C6A6A5-51AF-43F3-B103-5345821FAFEE}" srcId="{0E652C00-4F5E-4225-B0DE-1E16E467F052}" destId="{E9D3C62B-362B-44C9-A42A-154B9DBAE91C}" srcOrd="2" destOrd="0" parTransId="{C9AEF7BE-B561-478B-BAC4-CA5215113050}" sibTransId="{FFF495EB-AA84-4FB0-A607-B67EEC28EFF6}"/>
    <dgm:cxn modelId="{F5B463A9-1C63-49AF-836D-039CF3C3D222}" type="presOf" srcId="{CF379588-8D99-446E-9DA3-7D31B1AC5467}" destId="{06ACE6F8-0FA9-44AE-BA37-8718AB57D422}" srcOrd="0" destOrd="0" presId="urn:microsoft.com/office/officeart/2005/8/layout/list1"/>
    <dgm:cxn modelId="{C7759BAB-9FB4-42A6-99DA-5E5775983911}" type="presOf" srcId="{C14DAE80-C9AD-4DF2-AB00-76A03871C660}" destId="{4EFCDA67-9C44-44DD-A910-D775D3C6B542}" srcOrd="0" destOrd="0" presId="urn:microsoft.com/office/officeart/2005/8/layout/list1"/>
    <dgm:cxn modelId="{0CAB92AF-DA12-4A69-B592-C211B1603E46}" type="presOf" srcId="{F2356AF9-BEEF-4B44-8D11-6960D17AF916}" destId="{06ACE6F8-0FA9-44AE-BA37-8718AB57D422}" srcOrd="0" destOrd="1" presId="urn:microsoft.com/office/officeart/2005/8/layout/list1"/>
    <dgm:cxn modelId="{21FF54B0-7061-409D-AA77-9C011DC7E50B}" srcId="{717ECC8B-6813-4A27-9DC1-A0349E570257}" destId="{0C7E1392-1B2E-4473-98A3-7DB95B0F3E41}" srcOrd="3" destOrd="0" parTransId="{1BB85BBF-AE3C-4053-94E1-A07AA9D27118}" sibTransId="{170804D9-020B-4492-BDDC-2864E2B9B088}"/>
    <dgm:cxn modelId="{48FD79B7-0A80-4168-B74D-E45585C648D8}" srcId="{DCD48D7A-4B03-4423-8CB5-5C5D79405805}" destId="{717ECC8B-6813-4A27-9DC1-A0349E570257}" srcOrd="2" destOrd="0" parTransId="{D945DCAA-29DE-415E-9EC0-2EA9CDBA637F}" sibTransId="{60E19195-CF68-47DE-9785-66C048977208}"/>
    <dgm:cxn modelId="{794DEFC0-78A8-4CCF-9C86-48F2FE94417F}" type="presOf" srcId="{90932CD4-98AF-4D20-B3A5-3F4217DAB33C}" destId="{3BC1BA34-3099-48F7-ADCC-C59CA8F05523}" srcOrd="0" destOrd="0" presId="urn:microsoft.com/office/officeart/2005/8/layout/list1"/>
    <dgm:cxn modelId="{5B0414C2-1728-459D-B4A9-EB7A43C62996}" type="presOf" srcId="{717ECC8B-6813-4A27-9DC1-A0349E570257}" destId="{9702987D-0E97-487C-8CCC-50D92DF3BD3E}" srcOrd="0" destOrd="0" presId="urn:microsoft.com/office/officeart/2005/8/layout/list1"/>
    <dgm:cxn modelId="{5EFBE1C5-BAFA-4A4F-97DC-DCEC94D3930E}" type="presOf" srcId="{7AD3D970-693A-46CB-93F2-8719BB4A2138}" destId="{77262FC2-D56C-47EC-A6D3-390D5DF0E708}" srcOrd="0" destOrd="0" presId="urn:microsoft.com/office/officeart/2005/8/layout/list1"/>
    <dgm:cxn modelId="{B2CEC7D1-0EF3-43E8-A8C4-CA91F9F8B2C6}" srcId="{717ECC8B-6813-4A27-9DC1-A0349E570257}" destId="{320F87EC-CED1-4210-8A86-B8F3B4014BD7}" srcOrd="2" destOrd="0" parTransId="{3E66B59C-1F4A-4068-B805-1D0FD9DF5EB9}" sibTransId="{9C227A2C-DB8C-4F82-9033-31A1665D63A3}"/>
    <dgm:cxn modelId="{F0618CD4-2AC3-47D0-8F11-BACCD701AD92}" type="presOf" srcId="{717ECC8B-6813-4A27-9DC1-A0349E570257}" destId="{2F94551E-AD58-4389-A867-ACC7E854241D}" srcOrd="1" destOrd="0" presId="urn:microsoft.com/office/officeart/2005/8/layout/list1"/>
    <dgm:cxn modelId="{3C68E3D5-A553-46EE-8B80-FB51032E4800}" type="presOf" srcId="{2CB7F8B1-2637-4408-9185-3A95A2E4D4D4}" destId="{545F5493-E5D3-45CD-9407-AD3146FF5B66}" srcOrd="0" destOrd="0" presId="urn:microsoft.com/office/officeart/2005/8/layout/list1"/>
    <dgm:cxn modelId="{9A2394D6-DEA8-457C-A7F6-0CA60D78D7EA}" srcId="{8069E184-766F-4E8B-A1E8-51EDBCF8B787}" destId="{08ED7DEB-8B98-40A9-9699-ACCFB829DBE2}" srcOrd="1" destOrd="0" parTransId="{C96799B1-BF4C-4F01-9A1B-8BF2A3D32A1B}" sibTransId="{BC1C2EC9-649F-493C-B095-2F14FEE273F0}"/>
    <dgm:cxn modelId="{DB12D2DB-01C4-4C72-B613-D8E0FA85016F}" type="presOf" srcId="{D67F9A5A-5E88-44A1-939C-135CE3AF4041}" destId="{3B8B29A2-8F27-4747-815F-4C192BC39EFB}" srcOrd="0" destOrd="0"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A78FA5E5-A2BA-4B5D-B58A-F79B8B58EBA0}" type="presOf" srcId="{2DDC3C6B-EB89-41BC-9626-2C8602AFD180}" destId="{4EFCDA67-9C44-44DD-A910-D775D3C6B542}" srcOrd="0" destOrd="2" presId="urn:microsoft.com/office/officeart/2005/8/layout/list1"/>
    <dgm:cxn modelId="{390B20E6-A9D0-40A0-91E1-C0FE58040D6E}" type="presOf" srcId="{260FD557-A6C6-4FE3-8993-4A56E5810063}" destId="{35D5CD7D-3A20-4EB8-B442-65E54571D39E}" srcOrd="0" destOrd="3" presId="urn:microsoft.com/office/officeart/2005/8/layout/list1"/>
    <dgm:cxn modelId="{6ECE81EC-BB4B-453C-92DD-2559DD914CE7}" type="presOf" srcId="{2CB7F8B1-2637-4408-9185-3A95A2E4D4D4}" destId="{E6E34545-7A70-45F5-AF30-5300FEAF0CB4}" srcOrd="1" destOrd="0" presId="urn:microsoft.com/office/officeart/2005/8/layout/list1"/>
    <dgm:cxn modelId="{C0D90BEF-14F4-437B-ACE6-480F7ECC25D2}" type="presOf" srcId="{38D6ECF3-9DC0-4FA5-AA85-AE678086D86F}" destId="{0BB363C2-1000-4D63-89E1-75C121258685}" srcOrd="1" destOrd="0" presId="urn:microsoft.com/office/officeart/2005/8/layout/list1"/>
    <dgm:cxn modelId="{AF2C1DF1-0917-4A12-AD82-87034F4AA6BD}" srcId="{717ECC8B-6813-4A27-9DC1-A0349E570257}" destId="{4A7800C9-7D3D-4FD3-A0C8-055EA574631C}" srcOrd="1" destOrd="0" parTransId="{E88C88D6-C647-44AC-8F34-1CDDF9D56EAE}" sibTransId="{011E79F5-D3D2-430D-AB83-E364AA563D3C}"/>
    <dgm:cxn modelId="{B83F70F1-0D48-4D91-8D66-89823BD64B2E}" type="presOf" srcId="{0E652C00-4F5E-4225-B0DE-1E16E467F052}" destId="{C7C02459-324F-4CBA-B9A7-D10266029FAC}" srcOrd="0" destOrd="0" presId="urn:microsoft.com/office/officeart/2005/8/layout/list1"/>
    <dgm:cxn modelId="{954406F2-1B59-4EB7-8571-C1BB56C70C82}" type="presOf" srcId="{320F87EC-CED1-4210-8A86-B8F3B4014BD7}" destId="{3BC1BA34-3099-48F7-ADCC-C59CA8F05523}" srcOrd="0" destOrd="2" presId="urn:microsoft.com/office/officeart/2005/8/layout/list1"/>
    <dgm:cxn modelId="{952D29FA-01DB-4FF4-B950-87A63CC80292}" srcId="{D67F9A5A-5E88-44A1-939C-135CE3AF4041}" destId="{F2356AF9-BEEF-4B44-8D11-6960D17AF916}" srcOrd="1" destOrd="0" parTransId="{30965C44-C041-42DC-BEED-B4376C8E6B72}" sibTransId="{B601354C-9FC2-4283-877B-28B5BED5CBBC}"/>
    <dgm:cxn modelId="{6C6EB5FC-FF88-485A-AB17-1DEBD14B1B4D}" srcId="{717ECC8B-6813-4A27-9DC1-A0349E570257}" destId="{34106E7C-5D09-4727-92DE-E55E74AC51EE}" srcOrd="4" destOrd="0" parTransId="{9975E2E8-9436-4F43-A130-25EADB8F15E6}" sibTransId="{55FD3231-A594-44A3-9758-E80BFF642EBF}"/>
    <dgm:cxn modelId="{01DF30FD-85F5-4932-8A85-620FE2B1C5CA}" type="presOf" srcId="{38D6ECF3-9DC0-4FA5-AA85-AE678086D86F}" destId="{A03587EF-2C72-4284-B879-B71BE0640BA4}" srcOrd="0"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D5CD7D-3A20-4EB8-B442-65E54571D39E}">
      <dsp:nvSpPr>
        <dsp:cNvPr id="0" name=""/>
        <dsp:cNvSpPr/>
      </dsp:nvSpPr>
      <dsp:spPr>
        <a:xfrm>
          <a:off x="0" y="385322"/>
          <a:ext cx="3797300" cy="1071000"/>
        </a:xfrm>
        <a:prstGeom prst="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4713" tIns="312420" rIns="294713" bIns="64008" numCol="1" spcCol="1270" anchor="t" anchorCtr="0">
          <a:noAutofit/>
        </a:bodyPr>
        <a:lstStyle/>
        <a:p>
          <a:pPr marL="57150" lvl="1" indent="-57150" algn="l" defTabSz="400050">
            <a:lnSpc>
              <a:spcPct val="90000"/>
            </a:lnSpc>
            <a:spcBef>
              <a:spcPct val="0"/>
            </a:spcBef>
            <a:spcAft>
              <a:spcPct val="15000"/>
            </a:spcAft>
            <a:buChar char="•"/>
          </a:pPr>
          <a:r>
            <a:rPr lang="es-CO" sz="900" kern="1200"/>
            <a:t>Definición de la unidad objeto de ordenación forestal</a:t>
          </a:r>
        </a:p>
        <a:p>
          <a:pPr marL="57150" lvl="1" indent="-57150" algn="l" defTabSz="400050">
            <a:lnSpc>
              <a:spcPct val="90000"/>
            </a:lnSpc>
            <a:spcBef>
              <a:spcPct val="0"/>
            </a:spcBef>
            <a:spcAft>
              <a:spcPct val="15000"/>
            </a:spcAft>
            <a:buChar char="•"/>
          </a:pPr>
          <a:r>
            <a:rPr lang="es-CO" sz="900" kern="1200"/>
            <a:t>Asignación de recursos</a:t>
          </a:r>
        </a:p>
        <a:p>
          <a:pPr marL="57150" lvl="1" indent="-57150" algn="l" defTabSz="400050">
            <a:lnSpc>
              <a:spcPct val="90000"/>
            </a:lnSpc>
            <a:spcBef>
              <a:spcPct val="0"/>
            </a:spcBef>
            <a:spcAft>
              <a:spcPct val="15000"/>
            </a:spcAft>
            <a:buChar char="•"/>
          </a:pPr>
          <a:r>
            <a:rPr lang="es-CO" sz="900" kern="1200"/>
            <a:t>Inicio del proceso pre y contractual</a:t>
          </a:r>
        </a:p>
        <a:p>
          <a:pPr marL="57150" lvl="1" indent="-57150" algn="l" defTabSz="400050">
            <a:lnSpc>
              <a:spcPct val="90000"/>
            </a:lnSpc>
            <a:spcBef>
              <a:spcPct val="0"/>
            </a:spcBef>
            <a:spcAft>
              <a:spcPct val="15000"/>
            </a:spcAft>
            <a:buChar char="•"/>
          </a:pPr>
          <a:r>
            <a:rPr lang="es-CO" sz="900" kern="1200"/>
            <a:t>Conformación del equipo de trabajo  </a:t>
          </a:r>
        </a:p>
      </dsp:txBody>
      <dsp:txXfrm>
        <a:off x="0" y="385322"/>
        <a:ext cx="3797300" cy="1071000"/>
      </dsp:txXfrm>
    </dsp:sp>
    <dsp:sp modelId="{E6E34545-7A70-45F5-AF30-5300FEAF0CB4}">
      <dsp:nvSpPr>
        <dsp:cNvPr id="0" name=""/>
        <dsp:cNvSpPr/>
      </dsp:nvSpPr>
      <dsp:spPr>
        <a:xfrm>
          <a:off x="189865" y="18235"/>
          <a:ext cx="2658110" cy="590400"/>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470" tIns="0" rIns="100470" bIns="0" numCol="1" spcCol="1270" anchor="ctr" anchorCtr="0">
          <a:noAutofit/>
        </a:bodyPr>
        <a:lstStyle/>
        <a:p>
          <a:pPr marL="0" lvl="0" indent="0" algn="l" defTabSz="400050">
            <a:lnSpc>
              <a:spcPct val="90000"/>
            </a:lnSpc>
            <a:spcBef>
              <a:spcPct val="0"/>
            </a:spcBef>
            <a:spcAft>
              <a:spcPct val="35000"/>
            </a:spcAft>
            <a:buNone/>
          </a:pPr>
          <a:r>
            <a:rPr lang="es-CO" sz="900" b="1" kern="1200"/>
            <a:t>1. FASE DE PREPARACION</a:t>
          </a:r>
        </a:p>
      </dsp:txBody>
      <dsp:txXfrm>
        <a:off x="218686" y="47056"/>
        <a:ext cx="2600468" cy="532758"/>
      </dsp:txXfrm>
    </dsp:sp>
    <dsp:sp modelId="{BEC4ABD6-0E89-47BE-B95E-5D5D71B73DA1}">
      <dsp:nvSpPr>
        <dsp:cNvPr id="0" name=""/>
        <dsp:cNvSpPr/>
      </dsp:nvSpPr>
      <dsp:spPr>
        <a:xfrm>
          <a:off x="0" y="1859522"/>
          <a:ext cx="3797300" cy="1197000"/>
        </a:xfrm>
        <a:prstGeom prst="rect">
          <a:avLst/>
        </a:prstGeom>
        <a:solidFill>
          <a:schemeClr val="lt1">
            <a:alpha val="90000"/>
            <a:hueOff val="0"/>
            <a:satOff val="0"/>
            <a:lumOff val="0"/>
            <a:alphaOff val="0"/>
          </a:schemeClr>
        </a:solidFill>
        <a:ln w="12700" cap="flat" cmpd="sng" algn="ctr">
          <a:solidFill>
            <a:schemeClr val="accent5">
              <a:hueOff val="-1225557"/>
              <a:satOff val="-1705"/>
              <a:lumOff val="-65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4713" tIns="312420" rIns="294713" bIns="64008" numCol="1" spcCol="1270" anchor="t" anchorCtr="0">
          <a:noAutofit/>
        </a:bodyPr>
        <a:lstStyle/>
        <a:p>
          <a:pPr marL="57150" lvl="1" indent="-57150" algn="l" defTabSz="400050">
            <a:lnSpc>
              <a:spcPct val="90000"/>
            </a:lnSpc>
            <a:spcBef>
              <a:spcPct val="0"/>
            </a:spcBef>
            <a:spcAft>
              <a:spcPct val="15000"/>
            </a:spcAft>
            <a:buChar char="•"/>
          </a:pPr>
          <a:r>
            <a:rPr lang="es-CO" sz="900" kern="1200"/>
            <a:t>Consulta, validación y digitalización de información secundaria</a:t>
          </a:r>
        </a:p>
        <a:p>
          <a:pPr marL="57150" lvl="1" indent="-57150" algn="l" defTabSz="400050">
            <a:lnSpc>
              <a:spcPct val="90000"/>
            </a:lnSpc>
            <a:spcBef>
              <a:spcPct val="0"/>
            </a:spcBef>
            <a:spcAft>
              <a:spcPct val="15000"/>
            </a:spcAft>
            <a:buChar char="•"/>
          </a:pPr>
          <a:r>
            <a:rPr lang="es-CO" sz="900" kern="1200"/>
            <a:t>Procesamiento e interpretación de imágenes satelitales</a:t>
          </a:r>
        </a:p>
        <a:p>
          <a:pPr marL="57150" lvl="1" indent="-57150" algn="l" defTabSz="400050">
            <a:lnSpc>
              <a:spcPct val="90000"/>
            </a:lnSpc>
            <a:spcBef>
              <a:spcPct val="0"/>
            </a:spcBef>
            <a:spcAft>
              <a:spcPct val="15000"/>
            </a:spcAft>
            <a:buChar char="•"/>
          </a:pPr>
          <a:r>
            <a:rPr lang="es-CO" sz="900" kern="1200"/>
            <a:t>Generación de información cartográfica preliminar</a:t>
          </a:r>
        </a:p>
        <a:p>
          <a:pPr marL="57150" lvl="1" indent="-57150" algn="l" defTabSz="400050">
            <a:lnSpc>
              <a:spcPct val="90000"/>
            </a:lnSpc>
            <a:spcBef>
              <a:spcPct val="0"/>
            </a:spcBef>
            <a:spcAft>
              <a:spcPct val="15000"/>
            </a:spcAft>
            <a:buChar char="•"/>
          </a:pPr>
          <a:r>
            <a:rPr lang="es-CO" sz="900" kern="1200"/>
            <a:t>Definición de metodología para levantamiento de información primaria</a:t>
          </a:r>
        </a:p>
      </dsp:txBody>
      <dsp:txXfrm>
        <a:off x="0" y="1859522"/>
        <a:ext cx="3797300" cy="1197000"/>
      </dsp:txXfrm>
    </dsp:sp>
    <dsp:sp modelId="{C4175353-957F-4B0A-882A-9D65932C4C45}">
      <dsp:nvSpPr>
        <dsp:cNvPr id="0" name=""/>
        <dsp:cNvSpPr/>
      </dsp:nvSpPr>
      <dsp:spPr>
        <a:xfrm>
          <a:off x="204786" y="1547354"/>
          <a:ext cx="2658110" cy="590400"/>
        </a:xfrm>
        <a:prstGeom prst="roundRect">
          <a:avLst/>
        </a:prstGeom>
        <a:solidFill>
          <a:schemeClr val="accent5">
            <a:hueOff val="-1225557"/>
            <a:satOff val="-1705"/>
            <a:lumOff val="-65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470" tIns="0" rIns="100470" bIns="0" numCol="1" spcCol="1270" anchor="ctr" anchorCtr="0">
          <a:noAutofit/>
        </a:bodyPr>
        <a:lstStyle/>
        <a:p>
          <a:pPr marL="0" lvl="0" indent="0" algn="l" defTabSz="400050">
            <a:lnSpc>
              <a:spcPct val="90000"/>
            </a:lnSpc>
            <a:spcBef>
              <a:spcPct val="0"/>
            </a:spcBef>
            <a:spcAft>
              <a:spcPct val="35000"/>
            </a:spcAft>
            <a:buNone/>
          </a:pPr>
          <a:r>
            <a:rPr lang="es-CO" sz="900" b="1" kern="1200"/>
            <a:t>2. FASE DE APRESTAMIENTO</a:t>
          </a:r>
        </a:p>
      </dsp:txBody>
      <dsp:txXfrm>
        <a:off x="233607" y="1576175"/>
        <a:ext cx="2600468" cy="532758"/>
      </dsp:txXfrm>
    </dsp:sp>
    <dsp:sp modelId="{3BC1BA34-3099-48F7-ADCC-C59CA8F05523}">
      <dsp:nvSpPr>
        <dsp:cNvPr id="0" name=""/>
        <dsp:cNvSpPr/>
      </dsp:nvSpPr>
      <dsp:spPr>
        <a:xfrm>
          <a:off x="0" y="3459721"/>
          <a:ext cx="3797300" cy="1383260"/>
        </a:xfrm>
        <a:prstGeom prst="rect">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4713" tIns="312420" rIns="294713"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y acuerdos con actores regionales y locales</a:t>
          </a:r>
        </a:p>
        <a:p>
          <a:pPr marL="57150" lvl="1" indent="-57150" algn="l" defTabSz="400050">
            <a:lnSpc>
              <a:spcPct val="90000"/>
            </a:lnSpc>
            <a:spcBef>
              <a:spcPct val="0"/>
            </a:spcBef>
            <a:spcAft>
              <a:spcPct val="15000"/>
            </a:spcAft>
            <a:buChar char="•"/>
          </a:pPr>
          <a:r>
            <a:rPr lang="es-CO" sz="900" kern="1200"/>
            <a:t>Chequeo cartografía en campo</a:t>
          </a:r>
        </a:p>
        <a:p>
          <a:pPr marL="57150" lvl="1" indent="-57150" algn="l" defTabSz="400050">
            <a:lnSpc>
              <a:spcPct val="90000"/>
            </a:lnSpc>
            <a:spcBef>
              <a:spcPct val="0"/>
            </a:spcBef>
            <a:spcAft>
              <a:spcPct val="15000"/>
            </a:spcAft>
            <a:buChar char="•"/>
          </a:pPr>
          <a:r>
            <a:rPr lang="es-CO" sz="900" kern="1200"/>
            <a:t>Desarrollo del premuestreo, ajuste y realización del inventario forestal</a:t>
          </a:r>
        </a:p>
        <a:p>
          <a:pPr marL="57150" lvl="1" indent="-57150" algn="l" defTabSz="400050">
            <a:lnSpc>
              <a:spcPct val="90000"/>
            </a:lnSpc>
            <a:spcBef>
              <a:spcPct val="0"/>
            </a:spcBef>
            <a:spcAft>
              <a:spcPct val="15000"/>
            </a:spcAft>
            <a:buChar char="•"/>
          </a:pPr>
          <a:r>
            <a:rPr lang="es-CO" sz="900" kern="1200"/>
            <a:t>Desarrollo del componente fauna</a:t>
          </a:r>
        </a:p>
        <a:p>
          <a:pPr marL="57150" lvl="1" indent="-57150" algn="l" defTabSz="400050">
            <a:lnSpc>
              <a:spcPct val="90000"/>
            </a:lnSpc>
            <a:spcBef>
              <a:spcPct val="0"/>
            </a:spcBef>
            <a:spcAft>
              <a:spcPct val="15000"/>
            </a:spcAft>
            <a:buChar char="•"/>
          </a:pPr>
          <a:r>
            <a:rPr lang="es-CO" sz="900" kern="1200"/>
            <a:t>Desarrollo del componente socieconomico</a:t>
          </a:r>
        </a:p>
        <a:p>
          <a:pPr marL="57150" lvl="1" indent="-57150" algn="l" defTabSz="400050">
            <a:lnSpc>
              <a:spcPct val="90000"/>
            </a:lnSpc>
            <a:spcBef>
              <a:spcPct val="0"/>
            </a:spcBef>
            <a:spcAft>
              <a:spcPct val="15000"/>
            </a:spcAft>
            <a:buChar char="•"/>
          </a:pPr>
          <a:r>
            <a:rPr lang="es-CO" sz="900" kern="1200"/>
            <a:t>Desarrollo del componente suelos</a:t>
          </a:r>
        </a:p>
      </dsp:txBody>
      <dsp:txXfrm>
        <a:off x="0" y="3459721"/>
        <a:ext cx="3797300" cy="1383260"/>
      </dsp:txXfrm>
    </dsp:sp>
    <dsp:sp modelId="{2F94551E-AD58-4389-A867-ACC7E854241D}">
      <dsp:nvSpPr>
        <dsp:cNvPr id="0" name=""/>
        <dsp:cNvSpPr/>
      </dsp:nvSpPr>
      <dsp:spPr>
        <a:xfrm>
          <a:off x="182403" y="3147554"/>
          <a:ext cx="2658110" cy="590400"/>
        </a:xfrm>
        <a:prstGeom prst="roundRect">
          <a:avLst/>
        </a:prstGeom>
        <a:solidFill>
          <a:schemeClr val="accent5">
            <a:hueOff val="-2451115"/>
            <a:satOff val="-3409"/>
            <a:lumOff val="-1307"/>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470" tIns="0" rIns="100470" bIns="0" numCol="1" spcCol="1270" anchor="ctr" anchorCtr="0">
          <a:noAutofit/>
        </a:bodyPr>
        <a:lstStyle/>
        <a:p>
          <a:pPr marL="0" lvl="0" indent="0" algn="l" defTabSz="400050">
            <a:lnSpc>
              <a:spcPct val="90000"/>
            </a:lnSpc>
            <a:spcBef>
              <a:spcPct val="0"/>
            </a:spcBef>
            <a:spcAft>
              <a:spcPct val="35000"/>
            </a:spcAft>
            <a:buNone/>
          </a:pPr>
          <a:r>
            <a:rPr lang="es-CO" sz="900" b="1" kern="1200"/>
            <a:t>3. FASE  LOGISTICA Y OPERATIVA</a:t>
          </a:r>
        </a:p>
      </dsp:txBody>
      <dsp:txXfrm>
        <a:off x="211224" y="3176375"/>
        <a:ext cx="2600468" cy="532758"/>
      </dsp:txXfrm>
    </dsp:sp>
    <dsp:sp modelId="{06ACE6F8-0FA9-44AE-BA37-8718AB57D422}">
      <dsp:nvSpPr>
        <dsp:cNvPr id="0" name=""/>
        <dsp:cNvSpPr/>
      </dsp:nvSpPr>
      <dsp:spPr>
        <a:xfrm>
          <a:off x="0" y="5289131"/>
          <a:ext cx="3797300" cy="1197000"/>
        </a:xfrm>
        <a:prstGeom prst="rect">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4713" tIns="312420" rIns="294713" bIns="64008" numCol="1" spcCol="1270" anchor="t" anchorCtr="0">
          <a:noAutofit/>
        </a:bodyPr>
        <a:lstStyle/>
        <a:p>
          <a:pPr marL="57150" lvl="1" indent="-57150" algn="l" defTabSz="400050">
            <a:lnSpc>
              <a:spcPct val="90000"/>
            </a:lnSpc>
            <a:spcBef>
              <a:spcPct val="0"/>
            </a:spcBef>
            <a:spcAft>
              <a:spcPct val="15000"/>
            </a:spcAft>
            <a:buChar char="•"/>
          </a:pPr>
          <a:r>
            <a:rPr lang="es-CO" sz="900" kern="1200"/>
            <a:t>Procesamiento y análisis de información primaria</a:t>
          </a:r>
        </a:p>
        <a:p>
          <a:pPr marL="57150" lvl="1" indent="-57150" algn="l" defTabSz="400050">
            <a:lnSpc>
              <a:spcPct val="90000"/>
            </a:lnSpc>
            <a:spcBef>
              <a:spcPct val="0"/>
            </a:spcBef>
            <a:spcAft>
              <a:spcPct val="15000"/>
            </a:spcAft>
            <a:buChar char="•"/>
          </a:pPr>
          <a:r>
            <a:rPr lang="es-CO" sz="900" kern="1200"/>
            <a:t>Propuesta zonificación inicial de la UOF</a:t>
          </a:r>
        </a:p>
        <a:p>
          <a:pPr marL="57150" lvl="1" indent="-57150" algn="l" defTabSz="400050">
            <a:lnSpc>
              <a:spcPct val="90000"/>
            </a:lnSpc>
            <a:spcBef>
              <a:spcPct val="0"/>
            </a:spcBef>
            <a:spcAft>
              <a:spcPct val="15000"/>
            </a:spcAft>
            <a:buChar char="•"/>
          </a:pPr>
          <a:r>
            <a:rPr lang="es-CO" sz="900" kern="1200"/>
            <a:t>Propuesta de zonificación de las áreas forestales que componen la UOF</a:t>
          </a:r>
        </a:p>
        <a:p>
          <a:pPr marL="57150" lvl="1" indent="-57150" algn="l" defTabSz="400050">
            <a:lnSpc>
              <a:spcPct val="90000"/>
            </a:lnSpc>
            <a:spcBef>
              <a:spcPct val="0"/>
            </a:spcBef>
            <a:spcAft>
              <a:spcPct val="15000"/>
            </a:spcAft>
            <a:buChar char="•"/>
          </a:pPr>
          <a:r>
            <a:rPr lang="es-CO" sz="900" kern="1200"/>
            <a:t> Formulación del POF para cada área forestal de la UOF</a:t>
          </a:r>
        </a:p>
      </dsp:txBody>
      <dsp:txXfrm>
        <a:off x="0" y="5289131"/>
        <a:ext cx="3797300" cy="1197000"/>
      </dsp:txXfrm>
    </dsp:sp>
    <dsp:sp modelId="{514BAA5A-25A1-407B-9E98-4F585743FC17}">
      <dsp:nvSpPr>
        <dsp:cNvPr id="0" name=""/>
        <dsp:cNvSpPr/>
      </dsp:nvSpPr>
      <dsp:spPr>
        <a:xfrm>
          <a:off x="189865" y="4934015"/>
          <a:ext cx="2658110" cy="590400"/>
        </a:xfrm>
        <a:prstGeom prst="roundRect">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470" tIns="0" rIns="100470" bIns="0" numCol="1" spcCol="1270" anchor="ctr" anchorCtr="0">
          <a:noAutofit/>
        </a:bodyPr>
        <a:lstStyle/>
        <a:p>
          <a:pPr marL="0" lvl="0" indent="0" algn="l" defTabSz="400050">
            <a:lnSpc>
              <a:spcPct val="90000"/>
            </a:lnSpc>
            <a:spcBef>
              <a:spcPct val="0"/>
            </a:spcBef>
            <a:spcAft>
              <a:spcPct val="35000"/>
            </a:spcAft>
            <a:buNone/>
          </a:pPr>
          <a:r>
            <a:rPr lang="es-CO" sz="900" b="1" kern="1200"/>
            <a:t>4. FASE DE OFICINA</a:t>
          </a:r>
        </a:p>
      </dsp:txBody>
      <dsp:txXfrm>
        <a:off x="218686" y="4962836"/>
        <a:ext cx="2600468" cy="532758"/>
      </dsp:txXfrm>
    </dsp:sp>
    <dsp:sp modelId="{4EFCDA67-9C44-44DD-A910-D775D3C6B542}">
      <dsp:nvSpPr>
        <dsp:cNvPr id="0" name=""/>
        <dsp:cNvSpPr/>
      </dsp:nvSpPr>
      <dsp:spPr>
        <a:xfrm>
          <a:off x="0" y="6860759"/>
          <a:ext cx="3797300" cy="796827"/>
        </a:xfrm>
        <a:prstGeom prst="rect">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4713" tIns="312420" rIns="294713"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versión premiminar de los POF</a:t>
          </a:r>
        </a:p>
        <a:p>
          <a:pPr marL="57150" lvl="1" indent="-57150" algn="l" defTabSz="400050">
            <a:lnSpc>
              <a:spcPct val="90000"/>
            </a:lnSpc>
            <a:spcBef>
              <a:spcPct val="0"/>
            </a:spcBef>
            <a:spcAft>
              <a:spcPct val="15000"/>
            </a:spcAft>
            <a:buChar char="•"/>
          </a:pPr>
          <a:r>
            <a:rPr lang="es-CO" sz="900" kern="1200"/>
            <a:t>Armonización de los POF con actores locales y regionales</a:t>
          </a:r>
        </a:p>
        <a:p>
          <a:pPr marL="57150" lvl="1" indent="-57150" algn="l" defTabSz="400050">
            <a:lnSpc>
              <a:spcPct val="90000"/>
            </a:lnSpc>
            <a:spcBef>
              <a:spcPct val="0"/>
            </a:spcBef>
            <a:spcAft>
              <a:spcPct val="15000"/>
            </a:spcAft>
            <a:buChar char="•"/>
          </a:pPr>
          <a:r>
            <a:rPr lang="es-CO" sz="900" kern="1200"/>
            <a:t>Edición y ajustes de los POF</a:t>
          </a:r>
        </a:p>
      </dsp:txBody>
      <dsp:txXfrm>
        <a:off x="0" y="6860759"/>
        <a:ext cx="3797300" cy="796827"/>
      </dsp:txXfrm>
    </dsp:sp>
    <dsp:sp modelId="{72C2FA48-4513-4CD5-8267-CAFA222E040F}">
      <dsp:nvSpPr>
        <dsp:cNvPr id="0" name=""/>
        <dsp:cNvSpPr/>
      </dsp:nvSpPr>
      <dsp:spPr>
        <a:xfrm>
          <a:off x="182403" y="6570826"/>
          <a:ext cx="2658110" cy="590400"/>
        </a:xfrm>
        <a:prstGeom prst="roundRect">
          <a:avLst/>
        </a:prstGeom>
        <a:solidFill>
          <a:schemeClr val="accent5">
            <a:hueOff val="-4902230"/>
            <a:satOff val="-6819"/>
            <a:lumOff val="-261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470" tIns="0" rIns="100470" bIns="0" numCol="1" spcCol="1270" anchor="ctr" anchorCtr="0">
          <a:noAutofit/>
        </a:bodyPr>
        <a:lstStyle/>
        <a:p>
          <a:pPr marL="0" lvl="0" indent="0" algn="l" defTabSz="400050">
            <a:lnSpc>
              <a:spcPct val="90000"/>
            </a:lnSpc>
            <a:spcBef>
              <a:spcPct val="0"/>
            </a:spcBef>
            <a:spcAft>
              <a:spcPct val="35000"/>
            </a:spcAft>
            <a:buNone/>
          </a:pPr>
          <a:r>
            <a:rPr lang="es-CO" sz="900" b="1" kern="1200"/>
            <a:t>5. FASE DE FORMULACION</a:t>
          </a:r>
        </a:p>
      </dsp:txBody>
      <dsp:txXfrm>
        <a:off x="211224" y="6599647"/>
        <a:ext cx="2600468" cy="532758"/>
      </dsp:txXfrm>
    </dsp:sp>
    <dsp:sp modelId="{FA8C06B1-BAA1-4827-A601-D14B18466DB6}">
      <dsp:nvSpPr>
        <dsp:cNvPr id="0" name=""/>
        <dsp:cNvSpPr/>
      </dsp:nvSpPr>
      <dsp:spPr>
        <a:xfrm>
          <a:off x="0" y="8046411"/>
          <a:ext cx="3797300" cy="1165500"/>
        </a:xfrm>
        <a:prstGeom prst="rect">
          <a:avLst/>
        </a:prstGeom>
        <a:solidFill>
          <a:schemeClr val="lt1">
            <a:alpha val="90000"/>
            <a:hueOff val="0"/>
            <a:satOff val="0"/>
            <a:lumOff val="0"/>
            <a:alphaOff val="0"/>
          </a:schemeClr>
        </a:solidFill>
        <a:ln w="12700" cap="flat" cmpd="sng" algn="ctr">
          <a:solidFill>
            <a:schemeClr val="accent5">
              <a:hueOff val="-6127787"/>
              <a:satOff val="-8523"/>
              <a:lumOff val="-326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4713" tIns="312420" rIns="294713" bIns="64008" numCol="1" spcCol="1270" anchor="t" anchorCtr="0">
          <a:noAutofit/>
        </a:bodyPr>
        <a:lstStyle/>
        <a:p>
          <a:pPr marL="57150" lvl="1" indent="-57150" algn="l" defTabSz="400050">
            <a:lnSpc>
              <a:spcPct val="90000"/>
            </a:lnSpc>
            <a:spcBef>
              <a:spcPct val="0"/>
            </a:spcBef>
            <a:spcAft>
              <a:spcPct val="15000"/>
            </a:spcAft>
            <a:buChar char="•"/>
          </a:pPr>
          <a:r>
            <a:rPr lang="es-CO" sz="900" kern="1200"/>
            <a:t>Aprobación de los POF por Consejo Directivo de la autoridad ambiental competente</a:t>
          </a:r>
        </a:p>
        <a:p>
          <a:pPr marL="57150" lvl="1" indent="-57150" algn="l" defTabSz="400050">
            <a:lnSpc>
              <a:spcPct val="90000"/>
            </a:lnSpc>
            <a:spcBef>
              <a:spcPct val="0"/>
            </a:spcBef>
            <a:spcAft>
              <a:spcPct val="15000"/>
            </a:spcAft>
            <a:buChar char="•"/>
          </a:pPr>
          <a:r>
            <a:rPr lang="es-CO" sz="900" kern="1200"/>
            <a:t>Incorporación de los POF en el POA de la autoridad ambiental competente</a:t>
          </a:r>
        </a:p>
        <a:p>
          <a:pPr marL="57150" lvl="1" indent="-57150" algn="l" defTabSz="400050">
            <a:lnSpc>
              <a:spcPct val="90000"/>
            </a:lnSpc>
            <a:spcBef>
              <a:spcPct val="0"/>
            </a:spcBef>
            <a:spcAft>
              <a:spcPct val="15000"/>
            </a:spcAft>
            <a:buChar char="•"/>
          </a:pPr>
          <a:r>
            <a:rPr lang="es-CO" sz="900" kern="1200"/>
            <a:t>Desarrollo de planes, programas y proyectos de cada POF </a:t>
          </a:r>
        </a:p>
      </dsp:txBody>
      <dsp:txXfrm>
        <a:off x="0" y="8046411"/>
        <a:ext cx="3797300" cy="1165500"/>
      </dsp:txXfrm>
    </dsp:sp>
    <dsp:sp modelId="{4E9F94DE-8CF1-4FE7-9A6B-53CB416743FC}">
      <dsp:nvSpPr>
        <dsp:cNvPr id="0" name=""/>
        <dsp:cNvSpPr/>
      </dsp:nvSpPr>
      <dsp:spPr>
        <a:xfrm>
          <a:off x="189865" y="7752545"/>
          <a:ext cx="2658110" cy="590400"/>
        </a:xfrm>
        <a:prstGeom prst="roundRect">
          <a:avLst/>
        </a:prstGeom>
        <a:solidFill>
          <a:schemeClr val="accent5">
            <a:hueOff val="-6127787"/>
            <a:satOff val="-8523"/>
            <a:lumOff val="-326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470" tIns="0" rIns="100470" bIns="0" numCol="1" spcCol="1270" anchor="ctr" anchorCtr="0">
          <a:noAutofit/>
        </a:bodyPr>
        <a:lstStyle/>
        <a:p>
          <a:pPr marL="0" lvl="0" indent="0" algn="l" defTabSz="400050">
            <a:lnSpc>
              <a:spcPct val="90000"/>
            </a:lnSpc>
            <a:spcBef>
              <a:spcPct val="0"/>
            </a:spcBef>
            <a:spcAft>
              <a:spcPct val="35000"/>
            </a:spcAft>
            <a:buNone/>
          </a:pPr>
          <a:r>
            <a:rPr lang="es-CO" sz="900" b="1" kern="1200"/>
            <a:t>6. FASE DE IMPLEMENTACION</a:t>
          </a:r>
        </a:p>
      </dsp:txBody>
      <dsp:txXfrm>
        <a:off x="218686" y="7781366"/>
        <a:ext cx="2600468" cy="532758"/>
      </dsp:txXfrm>
    </dsp:sp>
    <dsp:sp modelId="{77262FC2-D56C-47EC-A6D3-390D5DF0E708}">
      <dsp:nvSpPr>
        <dsp:cNvPr id="0" name=""/>
        <dsp:cNvSpPr/>
      </dsp:nvSpPr>
      <dsp:spPr>
        <a:xfrm>
          <a:off x="0" y="9561460"/>
          <a:ext cx="3797300" cy="913500"/>
        </a:xfrm>
        <a:prstGeom prst="rect">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4713" tIns="312420" rIns="294713"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Seguimiento a los POF</a:t>
          </a:r>
        </a:p>
        <a:p>
          <a:pPr marL="57150" lvl="1" indent="-57150" algn="l" defTabSz="400050">
            <a:lnSpc>
              <a:spcPct val="90000"/>
            </a:lnSpc>
            <a:spcBef>
              <a:spcPct val="0"/>
            </a:spcBef>
            <a:spcAft>
              <a:spcPct val="15000"/>
            </a:spcAft>
            <a:buChar char="•"/>
          </a:pPr>
          <a:r>
            <a:rPr lang="es-CO" sz="900" kern="1200"/>
            <a:t>Revisión y evaluación de los POF</a:t>
          </a:r>
        </a:p>
        <a:p>
          <a:pPr marL="57150" lvl="1" indent="-57150" algn="l" defTabSz="400050">
            <a:lnSpc>
              <a:spcPct val="90000"/>
            </a:lnSpc>
            <a:spcBef>
              <a:spcPct val="0"/>
            </a:spcBef>
            <a:spcAft>
              <a:spcPct val="15000"/>
            </a:spcAft>
            <a:buChar char="•"/>
          </a:pPr>
          <a:r>
            <a:rPr lang="es-CO" sz="900" kern="1200"/>
            <a:t>Actualización de los POF  </a:t>
          </a:r>
        </a:p>
      </dsp:txBody>
      <dsp:txXfrm>
        <a:off x="0" y="9561460"/>
        <a:ext cx="3797300" cy="913500"/>
      </dsp:txXfrm>
    </dsp:sp>
    <dsp:sp modelId="{0BB363C2-1000-4D63-89E1-75C121258685}">
      <dsp:nvSpPr>
        <dsp:cNvPr id="0" name=""/>
        <dsp:cNvSpPr/>
      </dsp:nvSpPr>
      <dsp:spPr>
        <a:xfrm>
          <a:off x="197326" y="9321245"/>
          <a:ext cx="2658110" cy="590400"/>
        </a:xfrm>
        <a:prstGeom prst="roundRect">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470" tIns="0" rIns="100470" bIns="0" numCol="1" spcCol="1270" anchor="ctr" anchorCtr="0">
          <a:noAutofit/>
        </a:bodyPr>
        <a:lstStyle/>
        <a:p>
          <a:pPr marL="0" lvl="0" indent="0" algn="l" defTabSz="400050">
            <a:lnSpc>
              <a:spcPct val="90000"/>
            </a:lnSpc>
            <a:spcBef>
              <a:spcPct val="0"/>
            </a:spcBef>
            <a:spcAft>
              <a:spcPct val="35000"/>
            </a:spcAft>
            <a:buNone/>
          </a:pPr>
          <a:r>
            <a:rPr lang="es-CO" sz="900" b="1" kern="1200"/>
            <a:t>7. FASE DE SEGUIMIENTO Y ACTUALIZACION</a:t>
          </a:r>
        </a:p>
      </dsp:txBody>
      <dsp:txXfrm>
        <a:off x="226147" y="9350066"/>
        <a:ext cx="2600468"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png"/><Relationship Id="rId5" Type="http://schemas.openxmlformats.org/officeDocument/2006/relationships/image" Target="../media/image15.png"/><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1.png"/><Relationship Id="rId2" Type="http://schemas.openxmlformats.org/officeDocument/2006/relationships/diagramData" Target="../diagrams/data1.xml"/><Relationship Id="rId1" Type="http://schemas.openxmlformats.org/officeDocument/2006/relationships/image" Target="../media/image2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7.png"/><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3.png"/><Relationship Id="rId1" Type="http://schemas.openxmlformats.org/officeDocument/2006/relationships/image" Target="../media/image3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5.png"/><Relationship Id="rId1" Type="http://schemas.openxmlformats.org/officeDocument/2006/relationships/image" Target="../media/image3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7.png"/><Relationship Id="rId1" Type="http://schemas.openxmlformats.org/officeDocument/2006/relationships/image" Target="../media/image3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8.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9.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7.png"/><Relationship Id="rId1" Type="http://schemas.openxmlformats.org/officeDocument/2006/relationships/image" Target="../media/image4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09663" cy="164306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00000000-0008-0000-0400-000005000000}"/>
            </a:ext>
          </a:extLst>
        </xdr:cNvPr>
        <xdr:cNvSpPr txBox="1"/>
      </xdr:nvSpPr>
      <xdr:spPr bwMode="auto">
        <a:xfrm>
          <a:off x="1304925" y="381000"/>
          <a:ext cx="2412206" cy="1059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548640</xdr:colOff>
      <xdr:row>61</xdr:row>
      <xdr:rowOff>160020</xdr:rowOff>
    </xdr:from>
    <xdr:to>
      <xdr:col>2</xdr:col>
      <xdr:colOff>1714601</xdr:colOff>
      <xdr:row>63</xdr:row>
      <xdr:rowOff>60983</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C00-000003000000}"/>
            </a:ext>
          </a:extLst>
        </xdr:cNvPr>
        <xdr:cNvGrpSpPr>
          <a:grpSpLocks/>
        </xdr:cNvGrpSpPr>
      </xdr:nvGrpSpPr>
      <xdr:grpSpPr bwMode="auto">
        <a:xfrm>
          <a:off x="0" y="0"/>
          <a:ext cx="5812588"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C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0CAABAC7-6332-431E-9432-7464B9DD1A46}"/>
            </a:ext>
          </a:extLst>
        </xdr:cNvPr>
        <xdr:cNvGrpSpPr>
          <a:grpSpLocks/>
        </xdr:cNvGrpSpPr>
      </xdr:nvGrpSpPr>
      <xdr:grpSpPr bwMode="auto">
        <a:xfrm>
          <a:off x="0" y="0"/>
          <a:ext cx="5812588" cy="1282630"/>
          <a:chOff x="57150" y="47625"/>
          <a:chExt cx="6316603" cy="1200288"/>
        </a:xfrm>
      </xdr:grpSpPr>
      <xdr:pic>
        <xdr:nvPicPr>
          <xdr:cNvPr id="7" name="1 Imagen" descr="ESCUDO-transp-lema-blanco.png">
            <a:extLst>
              <a:ext uri="{FF2B5EF4-FFF2-40B4-BE49-F238E27FC236}">
                <a16:creationId xmlns:a16="http://schemas.microsoft.com/office/drawing/2014/main" id="{F3C9E351-2517-4147-95EF-1B8426BF0C5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2DDC8DA-D28F-44B6-AC5A-BFC9B94614D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09EA0FDF-EB3E-4552-8DB0-E1BCA5FA41FB}"/>
            </a:ext>
          </a:extLst>
        </xdr:cNvPr>
        <xdr:cNvGrpSpPr>
          <a:grpSpLocks/>
        </xdr:cNvGrpSpPr>
      </xdr:nvGrpSpPr>
      <xdr:grpSpPr bwMode="auto">
        <a:xfrm>
          <a:off x="0" y="0"/>
          <a:ext cx="5812588" cy="1282630"/>
          <a:chOff x="57150" y="47625"/>
          <a:chExt cx="6316603" cy="1200288"/>
        </a:xfrm>
      </xdr:grpSpPr>
      <xdr:pic>
        <xdr:nvPicPr>
          <xdr:cNvPr id="10" name="1 Imagen" descr="ESCUDO-transp-lema-blanco.png">
            <a:extLst>
              <a:ext uri="{FF2B5EF4-FFF2-40B4-BE49-F238E27FC236}">
                <a16:creationId xmlns:a16="http://schemas.microsoft.com/office/drawing/2014/main" id="{3B674FEE-4EFD-4F3C-8B02-A8EE49F1F25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D8B9441-CACE-4CF3-A7FD-D5556AF302B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9FEAF726-6805-4D83-88C7-1D212E389E7B}"/>
            </a:ext>
          </a:extLst>
        </xdr:cNvPr>
        <xdr:cNvGrpSpPr>
          <a:grpSpLocks/>
        </xdr:cNvGrpSpPr>
      </xdr:nvGrpSpPr>
      <xdr:grpSpPr bwMode="auto">
        <a:xfrm>
          <a:off x="0" y="0"/>
          <a:ext cx="5812588" cy="1282630"/>
          <a:chOff x="57150" y="47625"/>
          <a:chExt cx="6316603" cy="1200288"/>
        </a:xfrm>
      </xdr:grpSpPr>
      <xdr:pic>
        <xdr:nvPicPr>
          <xdr:cNvPr id="13" name="1 Imagen" descr="ESCUDO-transp-lema-blanco.png">
            <a:extLst>
              <a:ext uri="{FF2B5EF4-FFF2-40B4-BE49-F238E27FC236}">
                <a16:creationId xmlns:a16="http://schemas.microsoft.com/office/drawing/2014/main" id="{1A4F6F16-6179-4C24-B425-E629AFBFF58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7954EDAA-4F81-4583-ACA3-F94D5A71771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28575</xdr:colOff>
      <xdr:row>70</xdr:row>
      <xdr:rowOff>55246</xdr:rowOff>
    </xdr:from>
    <xdr:to>
      <xdr:col>3</xdr:col>
      <xdr:colOff>2076451</xdr:colOff>
      <xdr:row>72</xdr:row>
      <xdr:rowOff>38100</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71625" y="27734896"/>
          <a:ext cx="2047876" cy="363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D00-000003000000}"/>
            </a:ext>
          </a:extLst>
        </xdr:cNvPr>
        <xdr:cNvGrpSpPr>
          <a:grpSpLocks/>
        </xdr:cNvGrpSpPr>
      </xdr:nvGrpSpPr>
      <xdr:grpSpPr bwMode="auto">
        <a:xfrm>
          <a:off x="0" y="0"/>
          <a:ext cx="5812588"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7C4DB642-75B2-445F-A3F9-E9E52B86F867}"/>
            </a:ext>
          </a:extLst>
        </xdr:cNvPr>
        <xdr:cNvGrpSpPr>
          <a:grpSpLocks/>
        </xdr:cNvGrpSpPr>
      </xdr:nvGrpSpPr>
      <xdr:grpSpPr bwMode="auto">
        <a:xfrm>
          <a:off x="0" y="0"/>
          <a:ext cx="5812588" cy="1282630"/>
          <a:chOff x="57150" y="47625"/>
          <a:chExt cx="6316603" cy="1200288"/>
        </a:xfrm>
      </xdr:grpSpPr>
      <xdr:pic>
        <xdr:nvPicPr>
          <xdr:cNvPr id="7" name="1 Imagen" descr="ESCUDO-transp-lema-blanco.png">
            <a:extLst>
              <a:ext uri="{FF2B5EF4-FFF2-40B4-BE49-F238E27FC236}">
                <a16:creationId xmlns:a16="http://schemas.microsoft.com/office/drawing/2014/main" id="{0DA0D6B8-C5E5-4FB0-8A48-9183AB3A10F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F3271170-369D-4301-A2B1-9E2CE65A5C0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A15F1C95-69E5-475C-A1DA-B177DD629E96}"/>
            </a:ext>
          </a:extLst>
        </xdr:cNvPr>
        <xdr:cNvGrpSpPr>
          <a:grpSpLocks/>
        </xdr:cNvGrpSpPr>
      </xdr:nvGrpSpPr>
      <xdr:grpSpPr bwMode="auto">
        <a:xfrm>
          <a:off x="0" y="0"/>
          <a:ext cx="5812588" cy="1282630"/>
          <a:chOff x="57150" y="47625"/>
          <a:chExt cx="6316603" cy="1200288"/>
        </a:xfrm>
      </xdr:grpSpPr>
      <xdr:pic>
        <xdr:nvPicPr>
          <xdr:cNvPr id="10" name="1 Imagen" descr="ESCUDO-transp-lema-blanco.png">
            <a:extLst>
              <a:ext uri="{FF2B5EF4-FFF2-40B4-BE49-F238E27FC236}">
                <a16:creationId xmlns:a16="http://schemas.microsoft.com/office/drawing/2014/main" id="{5085BD56-4000-4CA8-92FA-908EFA6B6DE3}"/>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F4B74F1-87F5-4608-9221-6BA2D8BA695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1564B148-0023-449F-A451-DAC3DDBAAF08}"/>
            </a:ext>
          </a:extLst>
        </xdr:cNvPr>
        <xdr:cNvGrpSpPr>
          <a:grpSpLocks/>
        </xdr:cNvGrpSpPr>
      </xdr:nvGrpSpPr>
      <xdr:grpSpPr bwMode="auto">
        <a:xfrm>
          <a:off x="0" y="0"/>
          <a:ext cx="5812588" cy="1282630"/>
          <a:chOff x="57150" y="47625"/>
          <a:chExt cx="6316603" cy="1200288"/>
        </a:xfrm>
      </xdr:grpSpPr>
      <xdr:pic>
        <xdr:nvPicPr>
          <xdr:cNvPr id="13" name="1 Imagen" descr="ESCUDO-transp-lema-blanco.png">
            <a:extLst>
              <a:ext uri="{FF2B5EF4-FFF2-40B4-BE49-F238E27FC236}">
                <a16:creationId xmlns:a16="http://schemas.microsoft.com/office/drawing/2014/main" id="{F5417BD6-7879-49E7-BFB8-4F958FC2034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D8DC0DE2-B5ED-47AC-8CD8-5CBDBC8C546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3C695078-E342-44B6-A4D6-C963398A4DDF}"/>
            </a:ext>
          </a:extLst>
        </xdr:cNvPr>
        <xdr:cNvGrpSpPr>
          <a:grpSpLocks/>
        </xdr:cNvGrpSpPr>
      </xdr:nvGrpSpPr>
      <xdr:grpSpPr bwMode="auto">
        <a:xfrm>
          <a:off x="0" y="0"/>
          <a:ext cx="5812588" cy="1282630"/>
          <a:chOff x="57150" y="47625"/>
          <a:chExt cx="6316603" cy="1200288"/>
        </a:xfrm>
      </xdr:grpSpPr>
      <xdr:pic>
        <xdr:nvPicPr>
          <xdr:cNvPr id="17" name="1 Imagen" descr="ESCUDO-transp-lema-blanco.png">
            <a:extLst>
              <a:ext uri="{FF2B5EF4-FFF2-40B4-BE49-F238E27FC236}">
                <a16:creationId xmlns:a16="http://schemas.microsoft.com/office/drawing/2014/main" id="{5CF58EDD-630F-60B6-0999-219F63D2AC3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8A0179DF-1C84-A58C-A8FE-052BFE1A7E5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0B9A397F-3D77-4D75-A707-21342691B3D0}"/>
            </a:ext>
          </a:extLst>
        </xdr:cNvPr>
        <xdr:cNvGrpSpPr>
          <a:grpSpLocks/>
        </xdr:cNvGrpSpPr>
      </xdr:nvGrpSpPr>
      <xdr:grpSpPr bwMode="auto">
        <a:xfrm>
          <a:off x="0" y="0"/>
          <a:ext cx="5812588" cy="1282630"/>
          <a:chOff x="57150" y="47625"/>
          <a:chExt cx="6316603" cy="1200288"/>
        </a:xfrm>
      </xdr:grpSpPr>
      <xdr:pic>
        <xdr:nvPicPr>
          <xdr:cNvPr id="20" name="1 Imagen" descr="ESCUDO-transp-lema-blanco.png">
            <a:extLst>
              <a:ext uri="{FF2B5EF4-FFF2-40B4-BE49-F238E27FC236}">
                <a16:creationId xmlns:a16="http://schemas.microsoft.com/office/drawing/2014/main" id="{EC9BE852-10E6-6507-4019-DD733678D02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882861B4-AE7D-4B53-B38B-ECFBB787232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2" name="1 Grupo">
          <a:extLst>
            <a:ext uri="{FF2B5EF4-FFF2-40B4-BE49-F238E27FC236}">
              <a16:creationId xmlns:a16="http://schemas.microsoft.com/office/drawing/2014/main" id="{17C6AF4F-FA69-4479-86D1-892CA33D9AE6}"/>
            </a:ext>
          </a:extLst>
        </xdr:cNvPr>
        <xdr:cNvGrpSpPr>
          <a:grpSpLocks/>
        </xdr:cNvGrpSpPr>
      </xdr:nvGrpSpPr>
      <xdr:grpSpPr bwMode="auto">
        <a:xfrm>
          <a:off x="0" y="0"/>
          <a:ext cx="5812588" cy="1282630"/>
          <a:chOff x="57150" y="47625"/>
          <a:chExt cx="6316603" cy="1200288"/>
        </a:xfrm>
      </xdr:grpSpPr>
      <xdr:pic>
        <xdr:nvPicPr>
          <xdr:cNvPr id="23" name="1 Imagen" descr="ESCUDO-transp-lema-blanco.png">
            <a:extLst>
              <a:ext uri="{FF2B5EF4-FFF2-40B4-BE49-F238E27FC236}">
                <a16:creationId xmlns:a16="http://schemas.microsoft.com/office/drawing/2014/main" id="{52475225-B264-AEC9-D797-2FEAFBFE96F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4" name="3 CuadroTexto">
            <a:extLst>
              <a:ext uri="{FF2B5EF4-FFF2-40B4-BE49-F238E27FC236}">
                <a16:creationId xmlns:a16="http://schemas.microsoft.com/office/drawing/2014/main" id="{8746E053-B49D-C94A-B0A4-AF1A8C1972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201EB466-0741-4A48-9D59-CB126F03CEB7}"/>
            </a:ext>
          </a:extLst>
        </xdr:cNvPr>
        <xdr:cNvGrpSpPr>
          <a:grpSpLocks/>
        </xdr:cNvGrpSpPr>
      </xdr:nvGrpSpPr>
      <xdr:grpSpPr bwMode="auto">
        <a:xfrm>
          <a:off x="0" y="0"/>
          <a:ext cx="5812588" cy="1282630"/>
          <a:chOff x="57150" y="47625"/>
          <a:chExt cx="6316603" cy="1200288"/>
        </a:xfrm>
      </xdr:grpSpPr>
      <xdr:pic>
        <xdr:nvPicPr>
          <xdr:cNvPr id="26" name="1 Imagen" descr="ESCUDO-transp-lema-blanco.png">
            <a:extLst>
              <a:ext uri="{FF2B5EF4-FFF2-40B4-BE49-F238E27FC236}">
                <a16:creationId xmlns:a16="http://schemas.microsoft.com/office/drawing/2014/main" id="{BCD76DE9-9765-9099-875D-DAD76CEF17E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768310E6-F008-EE47-3261-F976B5850EA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30481</xdr:colOff>
      <xdr:row>69</xdr:row>
      <xdr:rowOff>144780</xdr:rowOff>
    </xdr:from>
    <xdr:to>
      <xdr:col>2</xdr:col>
      <xdr:colOff>333960</xdr:colOff>
      <xdr:row>70</xdr:row>
      <xdr:rowOff>7321</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7829" y="25351182"/>
          <a:ext cx="303479" cy="48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335281</xdr:colOff>
      <xdr:row>80</xdr:row>
      <xdr:rowOff>0</xdr:rowOff>
    </xdr:from>
    <xdr:to>
      <xdr:col>3</xdr:col>
      <xdr:colOff>440</xdr:colOff>
      <xdr:row>81</xdr:row>
      <xdr:rowOff>3826</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2629" y="29632043"/>
          <a:ext cx="2018" cy="317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329566</xdr:colOff>
      <xdr:row>86</xdr:row>
      <xdr:rowOff>15240</xdr:rowOff>
    </xdr:from>
    <xdr:to>
      <xdr:col>2</xdr:col>
      <xdr:colOff>330417</xdr:colOff>
      <xdr:row>87</xdr:row>
      <xdr:rowOff>19066</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14" y="34944112"/>
          <a:ext cx="851" cy="32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326</xdr:colOff>
      <xdr:row>92</xdr:row>
      <xdr:rowOff>144780</xdr:rowOff>
    </xdr:from>
    <xdr:to>
      <xdr:col>3</xdr:col>
      <xdr:colOff>326</xdr:colOff>
      <xdr:row>93</xdr:row>
      <xdr:rowOff>148606</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4533" y="36618560"/>
          <a:ext cx="0" cy="92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326</xdr:colOff>
      <xdr:row>99</xdr:row>
      <xdr:rowOff>53341</xdr:rowOff>
    </xdr:from>
    <xdr:to>
      <xdr:col>3</xdr:col>
      <xdr:colOff>326</xdr:colOff>
      <xdr:row>100</xdr:row>
      <xdr:rowOff>41164</xdr:rowOff>
    </xdr:to>
    <xdr:pic>
      <xdr:nvPicPr>
        <xdr:cNvPr id="6" name="Imagen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4533" y="38989682"/>
          <a:ext cx="0" cy="17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0000000-0008-0000-0E00-000007000000}"/>
            </a:ext>
          </a:extLst>
        </xdr:cNvPr>
        <xdr:cNvGrpSpPr>
          <a:grpSpLocks/>
        </xdr:cNvGrpSpPr>
      </xdr:nvGrpSpPr>
      <xdr:grpSpPr bwMode="auto">
        <a:xfrm>
          <a:off x="0" y="0"/>
          <a:ext cx="7384213" cy="1282630"/>
          <a:chOff x="57150" y="47625"/>
          <a:chExt cx="6316603" cy="1200288"/>
        </a:xfrm>
      </xdr:grpSpPr>
      <xdr:pic>
        <xdr:nvPicPr>
          <xdr:cNvPr id="8" name="1 Imagen" descr="ESCUDO-transp-lema-blanco.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0000000-0008-0000-0E00-000009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C96BF834-6C57-44F8-AB5C-2D23CB75D38E}"/>
            </a:ext>
          </a:extLst>
        </xdr:cNvPr>
        <xdr:cNvGrpSpPr>
          <a:grpSpLocks/>
        </xdr:cNvGrpSpPr>
      </xdr:nvGrpSpPr>
      <xdr:grpSpPr bwMode="auto">
        <a:xfrm>
          <a:off x="0" y="0"/>
          <a:ext cx="7384213" cy="1282630"/>
          <a:chOff x="57150" y="47625"/>
          <a:chExt cx="6316603" cy="1200288"/>
        </a:xfrm>
      </xdr:grpSpPr>
      <xdr:pic>
        <xdr:nvPicPr>
          <xdr:cNvPr id="11" name="1 Imagen" descr="ESCUDO-transp-lema-blanco.png">
            <a:extLst>
              <a:ext uri="{FF2B5EF4-FFF2-40B4-BE49-F238E27FC236}">
                <a16:creationId xmlns:a16="http://schemas.microsoft.com/office/drawing/2014/main" id="{D4695F87-4B3C-4F73-B87C-0C0AB0F5E6E2}"/>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D084E7EC-9A9C-42DB-9DF8-A92DB5CB329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A3C2B36A-AB32-4135-B618-494398EF02FD}"/>
            </a:ext>
          </a:extLst>
        </xdr:cNvPr>
        <xdr:cNvGrpSpPr>
          <a:grpSpLocks/>
        </xdr:cNvGrpSpPr>
      </xdr:nvGrpSpPr>
      <xdr:grpSpPr bwMode="auto">
        <a:xfrm>
          <a:off x="0" y="0"/>
          <a:ext cx="7384213" cy="1282630"/>
          <a:chOff x="57150" y="47625"/>
          <a:chExt cx="6316603" cy="1200288"/>
        </a:xfrm>
      </xdr:grpSpPr>
      <xdr:pic>
        <xdr:nvPicPr>
          <xdr:cNvPr id="14" name="1 Imagen" descr="ESCUDO-transp-lema-blanco.png">
            <a:extLst>
              <a:ext uri="{FF2B5EF4-FFF2-40B4-BE49-F238E27FC236}">
                <a16:creationId xmlns:a16="http://schemas.microsoft.com/office/drawing/2014/main" id="{E1FE1A86-49BD-4DAB-BF8E-D6851D38FED9}"/>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2ED8A752-00E2-492E-A26D-B0ADC9D0275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370AECE0-17D8-47EE-88FC-0E08A83F71B3}"/>
            </a:ext>
          </a:extLst>
        </xdr:cNvPr>
        <xdr:cNvGrpSpPr>
          <a:grpSpLocks/>
        </xdr:cNvGrpSpPr>
      </xdr:nvGrpSpPr>
      <xdr:grpSpPr bwMode="auto">
        <a:xfrm>
          <a:off x="0" y="0"/>
          <a:ext cx="7384213" cy="1282630"/>
          <a:chOff x="57150" y="47625"/>
          <a:chExt cx="6316603" cy="1200288"/>
        </a:xfrm>
      </xdr:grpSpPr>
      <xdr:pic>
        <xdr:nvPicPr>
          <xdr:cNvPr id="17" name="1 Imagen" descr="ESCUDO-transp-lema-blanco.png">
            <a:extLst>
              <a:ext uri="{FF2B5EF4-FFF2-40B4-BE49-F238E27FC236}">
                <a16:creationId xmlns:a16="http://schemas.microsoft.com/office/drawing/2014/main" id="{4C3DBCBB-55F1-406F-873F-748EA63C793C}"/>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4E0F937E-7257-4271-82F2-3CF59FBF50B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6726</xdr:colOff>
      <xdr:row>73</xdr:row>
      <xdr:rowOff>0</xdr:rowOff>
    </xdr:from>
    <xdr:to>
      <xdr:col>3</xdr:col>
      <xdr:colOff>6726</xdr:colOff>
      <xdr:row>74</xdr:row>
      <xdr:rowOff>83843</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3" y="32793214"/>
          <a:ext cx="0" cy="115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F00-000003000000}"/>
            </a:ext>
          </a:extLst>
        </xdr:cNvPr>
        <xdr:cNvGrpSpPr>
          <a:grpSpLocks/>
        </xdr:cNvGrpSpPr>
      </xdr:nvGrpSpPr>
      <xdr:grpSpPr bwMode="auto">
        <a:xfrm>
          <a:off x="0" y="0"/>
          <a:ext cx="9917863"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C5B5F187-9453-4423-B534-5EA96B7605B2}"/>
            </a:ext>
          </a:extLst>
        </xdr:cNvPr>
        <xdr:cNvGrpSpPr>
          <a:grpSpLocks/>
        </xdr:cNvGrpSpPr>
      </xdr:nvGrpSpPr>
      <xdr:grpSpPr bwMode="auto">
        <a:xfrm>
          <a:off x="0" y="0"/>
          <a:ext cx="9917863" cy="1282630"/>
          <a:chOff x="57150" y="47625"/>
          <a:chExt cx="6316603" cy="1200288"/>
        </a:xfrm>
      </xdr:grpSpPr>
      <xdr:pic>
        <xdr:nvPicPr>
          <xdr:cNvPr id="7" name="1 Imagen" descr="ESCUDO-transp-lema-blanco.png">
            <a:extLst>
              <a:ext uri="{FF2B5EF4-FFF2-40B4-BE49-F238E27FC236}">
                <a16:creationId xmlns:a16="http://schemas.microsoft.com/office/drawing/2014/main" id="{6E33DB7B-EB2E-491F-B31D-7AA1F266FB6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7D3D39BA-3486-4318-8AD0-2D91309A0A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84529F20-82DD-41C2-AD4B-5915D5DAEABF}"/>
            </a:ext>
          </a:extLst>
        </xdr:cNvPr>
        <xdr:cNvGrpSpPr>
          <a:grpSpLocks/>
        </xdr:cNvGrpSpPr>
      </xdr:nvGrpSpPr>
      <xdr:grpSpPr bwMode="auto">
        <a:xfrm>
          <a:off x="0" y="0"/>
          <a:ext cx="9917863" cy="1282630"/>
          <a:chOff x="57150" y="47625"/>
          <a:chExt cx="6316603" cy="1200288"/>
        </a:xfrm>
      </xdr:grpSpPr>
      <xdr:pic>
        <xdr:nvPicPr>
          <xdr:cNvPr id="10" name="1 Imagen" descr="ESCUDO-transp-lema-blanco.png">
            <a:extLst>
              <a:ext uri="{FF2B5EF4-FFF2-40B4-BE49-F238E27FC236}">
                <a16:creationId xmlns:a16="http://schemas.microsoft.com/office/drawing/2014/main" id="{564F8514-07C1-4DBD-A2BB-9B3F3788BF4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F0E3A669-AAD6-40CD-A50A-F3D835EEF8C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BAA3C273-D7F9-4473-B021-5EADAD37CB36}"/>
            </a:ext>
          </a:extLst>
        </xdr:cNvPr>
        <xdr:cNvGrpSpPr>
          <a:grpSpLocks/>
        </xdr:cNvGrpSpPr>
      </xdr:nvGrpSpPr>
      <xdr:grpSpPr bwMode="auto">
        <a:xfrm>
          <a:off x="0" y="0"/>
          <a:ext cx="9917863" cy="1282630"/>
          <a:chOff x="57150" y="47625"/>
          <a:chExt cx="6316603" cy="1200288"/>
        </a:xfrm>
      </xdr:grpSpPr>
      <xdr:pic>
        <xdr:nvPicPr>
          <xdr:cNvPr id="13" name="1 Imagen" descr="ESCUDO-transp-lema-blanco.png">
            <a:extLst>
              <a:ext uri="{FF2B5EF4-FFF2-40B4-BE49-F238E27FC236}">
                <a16:creationId xmlns:a16="http://schemas.microsoft.com/office/drawing/2014/main" id="{E082FC52-3DD5-4EDB-AC5A-A81EC5BB9A8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830BCE15-8677-456D-986D-C1FF34C8361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4821</xdr:colOff>
      <xdr:row>71</xdr:row>
      <xdr:rowOff>38100</xdr:rowOff>
    </xdr:from>
    <xdr:to>
      <xdr:col>3</xdr:col>
      <xdr:colOff>6816</xdr:colOff>
      <xdr:row>72</xdr:row>
      <xdr:rowOff>68598</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38" y="22159427"/>
          <a:ext cx="1995" cy="3228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78</xdr:row>
      <xdr:rowOff>419100</xdr:rowOff>
    </xdr:from>
    <xdr:to>
      <xdr:col>3</xdr:col>
      <xdr:colOff>3012</xdr:colOff>
      <xdr:row>80</xdr:row>
      <xdr:rowOff>152432</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30345095"/>
          <a:ext cx="96" cy="232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000-000004000000}"/>
            </a:ext>
          </a:extLst>
        </xdr:cNvPr>
        <xdr:cNvGrpSpPr>
          <a:grpSpLocks/>
        </xdr:cNvGrpSpPr>
      </xdr:nvGrpSpPr>
      <xdr:grpSpPr bwMode="auto">
        <a:xfrm>
          <a:off x="0" y="0"/>
          <a:ext cx="6603163" cy="1282630"/>
          <a:chOff x="57150" y="47625"/>
          <a:chExt cx="6316603" cy="1200288"/>
        </a:xfrm>
      </xdr:grpSpPr>
      <xdr:pic>
        <xdr:nvPicPr>
          <xdr:cNvPr id="5" name="1 Imagen" descr="ESCUDO-transp-lema-blanco.pn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0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5630BCF4-B25A-47CE-9457-8AA7CEB26454}"/>
            </a:ext>
          </a:extLst>
        </xdr:cNvPr>
        <xdr:cNvGrpSpPr>
          <a:grpSpLocks/>
        </xdr:cNvGrpSpPr>
      </xdr:nvGrpSpPr>
      <xdr:grpSpPr bwMode="auto">
        <a:xfrm>
          <a:off x="0" y="0"/>
          <a:ext cx="6603163" cy="1282630"/>
          <a:chOff x="57150" y="47625"/>
          <a:chExt cx="6316603" cy="1200288"/>
        </a:xfrm>
      </xdr:grpSpPr>
      <xdr:pic>
        <xdr:nvPicPr>
          <xdr:cNvPr id="8" name="1 Imagen" descr="ESCUDO-transp-lema-blanco.png">
            <a:extLst>
              <a:ext uri="{FF2B5EF4-FFF2-40B4-BE49-F238E27FC236}">
                <a16:creationId xmlns:a16="http://schemas.microsoft.com/office/drawing/2014/main" id="{527F1B05-64CF-44F8-A712-950CDE48802A}"/>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3306A63-BF28-4887-8C7A-524FF6B0CBA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D9BEB4EF-05E9-4E69-9624-75C1DC0415EC}"/>
            </a:ext>
          </a:extLst>
        </xdr:cNvPr>
        <xdr:cNvGrpSpPr>
          <a:grpSpLocks/>
        </xdr:cNvGrpSpPr>
      </xdr:nvGrpSpPr>
      <xdr:grpSpPr bwMode="auto">
        <a:xfrm>
          <a:off x="0" y="0"/>
          <a:ext cx="6603163" cy="1282630"/>
          <a:chOff x="57150" y="47625"/>
          <a:chExt cx="6316603" cy="1200288"/>
        </a:xfrm>
      </xdr:grpSpPr>
      <xdr:pic>
        <xdr:nvPicPr>
          <xdr:cNvPr id="11" name="1 Imagen" descr="ESCUDO-transp-lema-blanco.png">
            <a:extLst>
              <a:ext uri="{FF2B5EF4-FFF2-40B4-BE49-F238E27FC236}">
                <a16:creationId xmlns:a16="http://schemas.microsoft.com/office/drawing/2014/main" id="{05969C47-F81F-4810-B185-A1E2AEE22AD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96E971DA-FB0D-45A6-B7AD-7AD89C303F6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DFAD292A-9CE5-4F37-A531-99B636FEA43A}"/>
            </a:ext>
          </a:extLst>
        </xdr:cNvPr>
        <xdr:cNvGrpSpPr>
          <a:grpSpLocks/>
        </xdr:cNvGrpSpPr>
      </xdr:nvGrpSpPr>
      <xdr:grpSpPr bwMode="auto">
        <a:xfrm>
          <a:off x="0" y="0"/>
          <a:ext cx="6603163" cy="1282630"/>
          <a:chOff x="57150" y="47625"/>
          <a:chExt cx="6316603" cy="1200288"/>
        </a:xfrm>
      </xdr:grpSpPr>
      <xdr:pic>
        <xdr:nvPicPr>
          <xdr:cNvPr id="14" name="1 Imagen" descr="ESCUDO-transp-lema-blanco.png">
            <a:extLst>
              <a:ext uri="{FF2B5EF4-FFF2-40B4-BE49-F238E27FC236}">
                <a16:creationId xmlns:a16="http://schemas.microsoft.com/office/drawing/2014/main" id="{D577FC6C-7B24-4CC4-8D5A-25AA166C452B}"/>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367E8CD-1CA9-4AF9-8236-A58B45BBC83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329566</xdr:colOff>
      <xdr:row>132</xdr:row>
      <xdr:rowOff>15240</xdr:rowOff>
    </xdr:from>
    <xdr:to>
      <xdr:col>3</xdr:col>
      <xdr:colOff>4955</xdr:colOff>
      <xdr:row>133</xdr:row>
      <xdr:rowOff>137186</xdr:rowOff>
    </xdr:to>
    <xdr:pic>
      <xdr:nvPicPr>
        <xdr:cNvPr id="2" name="Imagen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1224" y="36929475"/>
          <a:ext cx="5848" cy="316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100-000003000000}"/>
            </a:ext>
          </a:extLst>
        </xdr:cNvPr>
        <xdr:cNvGrpSpPr>
          <a:grpSpLocks/>
        </xdr:cNvGrpSpPr>
      </xdr:nvGrpSpPr>
      <xdr:grpSpPr bwMode="auto">
        <a:xfrm>
          <a:off x="0" y="0"/>
          <a:ext cx="6927525" cy="1286522"/>
          <a:chOff x="57150" y="47625"/>
          <a:chExt cx="6316603" cy="1200288"/>
        </a:xfrm>
      </xdr:grpSpPr>
      <xdr:pic>
        <xdr:nvPicPr>
          <xdr:cNvPr id="4" name="1 Imagen" descr="ESCUDO-transp-lema-blanco.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643ADF30-2FC7-46F6-9E6C-017AC74FCF47}"/>
            </a:ext>
          </a:extLst>
        </xdr:cNvPr>
        <xdr:cNvGrpSpPr>
          <a:grpSpLocks/>
        </xdr:cNvGrpSpPr>
      </xdr:nvGrpSpPr>
      <xdr:grpSpPr bwMode="auto">
        <a:xfrm>
          <a:off x="0" y="0"/>
          <a:ext cx="6927525" cy="1286522"/>
          <a:chOff x="57150" y="47625"/>
          <a:chExt cx="6316603" cy="1200288"/>
        </a:xfrm>
      </xdr:grpSpPr>
      <xdr:pic>
        <xdr:nvPicPr>
          <xdr:cNvPr id="7" name="1 Imagen" descr="ESCUDO-transp-lema-blanco.png">
            <a:extLst>
              <a:ext uri="{FF2B5EF4-FFF2-40B4-BE49-F238E27FC236}">
                <a16:creationId xmlns:a16="http://schemas.microsoft.com/office/drawing/2014/main" id="{E06CE3C0-DB7A-4C7B-B422-45D2FC78D85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BB9A6D01-DAAA-48E8-BB6B-A3E5906C59C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3572A274-FFD3-4425-836E-34B80BBC2109}"/>
            </a:ext>
          </a:extLst>
        </xdr:cNvPr>
        <xdr:cNvGrpSpPr>
          <a:grpSpLocks/>
        </xdr:cNvGrpSpPr>
      </xdr:nvGrpSpPr>
      <xdr:grpSpPr bwMode="auto">
        <a:xfrm>
          <a:off x="0" y="0"/>
          <a:ext cx="6927525" cy="1286522"/>
          <a:chOff x="57150" y="47625"/>
          <a:chExt cx="6316603" cy="1200288"/>
        </a:xfrm>
      </xdr:grpSpPr>
      <xdr:pic>
        <xdr:nvPicPr>
          <xdr:cNvPr id="10" name="1 Imagen" descr="ESCUDO-transp-lema-blanco.png">
            <a:extLst>
              <a:ext uri="{FF2B5EF4-FFF2-40B4-BE49-F238E27FC236}">
                <a16:creationId xmlns:a16="http://schemas.microsoft.com/office/drawing/2014/main" id="{AA284D76-FAE0-4927-9C24-28A4EFCC8F3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CCB21BD-B484-4171-94E8-F7F7B8C86D0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033D8627-711B-47BA-8D23-F61464ACCB41}"/>
            </a:ext>
          </a:extLst>
        </xdr:cNvPr>
        <xdr:cNvGrpSpPr>
          <a:grpSpLocks/>
        </xdr:cNvGrpSpPr>
      </xdr:nvGrpSpPr>
      <xdr:grpSpPr bwMode="auto">
        <a:xfrm>
          <a:off x="0" y="0"/>
          <a:ext cx="6927525" cy="1286522"/>
          <a:chOff x="57150" y="47625"/>
          <a:chExt cx="6316603" cy="1200288"/>
        </a:xfrm>
      </xdr:grpSpPr>
      <xdr:pic>
        <xdr:nvPicPr>
          <xdr:cNvPr id="13" name="1 Imagen" descr="ESCUDO-transp-lema-blanco.png">
            <a:extLst>
              <a:ext uri="{FF2B5EF4-FFF2-40B4-BE49-F238E27FC236}">
                <a16:creationId xmlns:a16="http://schemas.microsoft.com/office/drawing/2014/main" id="{24F57162-9C55-4DCA-AFBD-970A2089FC6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0233F12C-5F5F-4976-9563-5694E8349F4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200-000003000000}"/>
            </a:ext>
          </a:extLst>
        </xdr:cNvPr>
        <xdr:cNvGrpSpPr>
          <a:grpSpLocks/>
        </xdr:cNvGrpSpPr>
      </xdr:nvGrpSpPr>
      <xdr:grpSpPr bwMode="auto">
        <a:xfrm>
          <a:off x="0" y="0"/>
          <a:ext cx="5574463"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2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8FAD8697-247C-4DB8-B5EE-A2CB6AB89C58}"/>
            </a:ext>
          </a:extLst>
        </xdr:cNvPr>
        <xdr:cNvGrpSpPr>
          <a:grpSpLocks/>
        </xdr:cNvGrpSpPr>
      </xdr:nvGrpSpPr>
      <xdr:grpSpPr bwMode="auto">
        <a:xfrm>
          <a:off x="0" y="0"/>
          <a:ext cx="5574463" cy="1282630"/>
          <a:chOff x="57150" y="47625"/>
          <a:chExt cx="6316603" cy="1200288"/>
        </a:xfrm>
      </xdr:grpSpPr>
      <xdr:pic>
        <xdr:nvPicPr>
          <xdr:cNvPr id="7" name="1 Imagen" descr="ESCUDO-transp-lema-blanco.png">
            <a:extLst>
              <a:ext uri="{FF2B5EF4-FFF2-40B4-BE49-F238E27FC236}">
                <a16:creationId xmlns:a16="http://schemas.microsoft.com/office/drawing/2014/main" id="{5CD93A83-51A1-4A4B-91F6-3233CC2BDF9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1E59D573-3FF6-4E85-AC84-6CBC4DD13FE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7136EA67-10E6-413F-B1AB-68E9BD0F8B6F}"/>
            </a:ext>
          </a:extLst>
        </xdr:cNvPr>
        <xdr:cNvGrpSpPr>
          <a:grpSpLocks/>
        </xdr:cNvGrpSpPr>
      </xdr:nvGrpSpPr>
      <xdr:grpSpPr bwMode="auto">
        <a:xfrm>
          <a:off x="0" y="0"/>
          <a:ext cx="5574463" cy="1282630"/>
          <a:chOff x="57150" y="47625"/>
          <a:chExt cx="6316603" cy="1200288"/>
        </a:xfrm>
      </xdr:grpSpPr>
      <xdr:pic>
        <xdr:nvPicPr>
          <xdr:cNvPr id="10" name="1 Imagen" descr="ESCUDO-transp-lema-blanco.png">
            <a:extLst>
              <a:ext uri="{FF2B5EF4-FFF2-40B4-BE49-F238E27FC236}">
                <a16:creationId xmlns:a16="http://schemas.microsoft.com/office/drawing/2014/main" id="{02568295-8AD4-44B2-B82A-E3982815664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E1F99F6A-C0BF-44B5-8AA4-3B6F359256A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0" y="23416260"/>
          <a:ext cx="163844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18</xdr:row>
      <xdr:rowOff>0</xdr:rowOff>
    </xdr:from>
    <xdr:to>
      <xdr:col>21</xdr:col>
      <xdr:colOff>675005</xdr:colOff>
      <xdr:row>61</xdr:row>
      <xdr:rowOff>73660</xdr:rowOff>
    </xdr:to>
    <xdr:graphicFrame macro="">
      <xdr:nvGraphicFramePr>
        <xdr:cNvPr id="3" name="Diagrama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300-000004000000}"/>
            </a:ext>
          </a:extLst>
        </xdr:cNvPr>
        <xdr:cNvGrpSpPr>
          <a:grpSpLocks/>
        </xdr:cNvGrpSpPr>
      </xdr:nvGrpSpPr>
      <xdr:grpSpPr bwMode="auto">
        <a:xfrm>
          <a:off x="0" y="0"/>
          <a:ext cx="5383963" cy="1282630"/>
          <a:chOff x="57150" y="47625"/>
          <a:chExt cx="6316603" cy="1200288"/>
        </a:xfrm>
      </xdr:grpSpPr>
      <xdr:pic>
        <xdr:nvPicPr>
          <xdr:cNvPr id="5" name="1 Imagen" descr="ESCUDO-transp-lema-blanco.png">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F283297E-8616-4C39-A77C-C0D67AD219BD}"/>
            </a:ext>
          </a:extLst>
        </xdr:cNvPr>
        <xdr:cNvGrpSpPr>
          <a:grpSpLocks/>
        </xdr:cNvGrpSpPr>
      </xdr:nvGrpSpPr>
      <xdr:grpSpPr bwMode="auto">
        <a:xfrm>
          <a:off x="0" y="0"/>
          <a:ext cx="5383963" cy="1282630"/>
          <a:chOff x="57150" y="47625"/>
          <a:chExt cx="6316603" cy="1200288"/>
        </a:xfrm>
      </xdr:grpSpPr>
      <xdr:pic>
        <xdr:nvPicPr>
          <xdr:cNvPr id="8" name="1 Imagen" descr="ESCUDO-transp-lema-blanco.png">
            <a:extLst>
              <a:ext uri="{FF2B5EF4-FFF2-40B4-BE49-F238E27FC236}">
                <a16:creationId xmlns:a16="http://schemas.microsoft.com/office/drawing/2014/main" id="{18A12D31-316C-4CF5-A2F2-51A14FC6E39C}"/>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180582F-E71F-4469-A84A-9F86279FF38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65DE9AC1-438C-40B9-9DF3-98E70033CD72}"/>
            </a:ext>
          </a:extLst>
        </xdr:cNvPr>
        <xdr:cNvGrpSpPr>
          <a:grpSpLocks/>
        </xdr:cNvGrpSpPr>
      </xdr:nvGrpSpPr>
      <xdr:grpSpPr bwMode="auto">
        <a:xfrm>
          <a:off x="0" y="0"/>
          <a:ext cx="5383963" cy="1282630"/>
          <a:chOff x="57150" y="47625"/>
          <a:chExt cx="6316603" cy="1200288"/>
        </a:xfrm>
      </xdr:grpSpPr>
      <xdr:pic>
        <xdr:nvPicPr>
          <xdr:cNvPr id="11" name="1 Imagen" descr="ESCUDO-transp-lema-blanco.png">
            <a:extLst>
              <a:ext uri="{FF2B5EF4-FFF2-40B4-BE49-F238E27FC236}">
                <a16:creationId xmlns:a16="http://schemas.microsoft.com/office/drawing/2014/main" id="{51EC192F-6FAE-4E1C-95F9-C69E00B64C5E}"/>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5BB7EAB8-BF72-4714-A9B6-85D9DD819F3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2072</xdr:colOff>
      <xdr:row>71</xdr:row>
      <xdr:rowOff>68580</xdr:rowOff>
    </xdr:from>
    <xdr:to>
      <xdr:col>3</xdr:col>
      <xdr:colOff>2181</xdr:colOff>
      <xdr:row>73</xdr:row>
      <xdr:rowOff>26</xdr:rowOff>
    </xdr:to>
    <xdr:pic>
      <xdr:nvPicPr>
        <xdr:cNvPr id="2" name="Imagen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485" y="33475102"/>
          <a:ext cx="109" cy="312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2072</xdr:colOff>
      <xdr:row>78</xdr:row>
      <xdr:rowOff>53340</xdr:rowOff>
    </xdr:from>
    <xdr:to>
      <xdr:col>3</xdr:col>
      <xdr:colOff>5973</xdr:colOff>
      <xdr:row>80</xdr:row>
      <xdr:rowOff>60992</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485" y="40955623"/>
          <a:ext cx="3901" cy="684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400-000004000000}"/>
            </a:ext>
          </a:extLst>
        </xdr:cNvPr>
        <xdr:cNvGrpSpPr>
          <a:grpSpLocks/>
        </xdr:cNvGrpSpPr>
      </xdr:nvGrpSpPr>
      <xdr:grpSpPr bwMode="auto">
        <a:xfrm>
          <a:off x="0" y="0"/>
          <a:ext cx="8689138" cy="1280403"/>
          <a:chOff x="57150" y="47625"/>
          <a:chExt cx="6316603" cy="1200288"/>
        </a:xfrm>
      </xdr:grpSpPr>
      <xdr:pic>
        <xdr:nvPicPr>
          <xdr:cNvPr id="5" name="1 Imagen" descr="ESCUDO-transp-lema-blanco.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4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DC2A5DE2-3B17-4E3F-A88B-4D47A534819B}"/>
            </a:ext>
          </a:extLst>
        </xdr:cNvPr>
        <xdr:cNvGrpSpPr>
          <a:grpSpLocks/>
        </xdr:cNvGrpSpPr>
      </xdr:nvGrpSpPr>
      <xdr:grpSpPr bwMode="auto">
        <a:xfrm>
          <a:off x="0" y="0"/>
          <a:ext cx="8689138" cy="1280403"/>
          <a:chOff x="57150" y="47625"/>
          <a:chExt cx="6316603" cy="1200288"/>
        </a:xfrm>
      </xdr:grpSpPr>
      <xdr:pic>
        <xdr:nvPicPr>
          <xdr:cNvPr id="8" name="1 Imagen" descr="ESCUDO-transp-lema-blanco.png">
            <a:extLst>
              <a:ext uri="{FF2B5EF4-FFF2-40B4-BE49-F238E27FC236}">
                <a16:creationId xmlns:a16="http://schemas.microsoft.com/office/drawing/2014/main" id="{6A1D5B81-6843-40FB-A552-9A1BCC9D1F8C}"/>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85EB3C6-4CE2-4C66-85D4-3D632F5CF21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762000</xdr:colOff>
      <xdr:row>85</xdr:row>
      <xdr:rowOff>106680</xdr:rowOff>
    </xdr:from>
    <xdr:to>
      <xdr:col>2</xdr:col>
      <xdr:colOff>1981306</xdr:colOff>
      <xdr:row>86</xdr:row>
      <xdr:rowOff>160040</xdr:rowOff>
    </xdr:to>
    <xdr:pic>
      <xdr:nvPicPr>
        <xdr:cNvPr id="2" name="Imagen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91</xdr:row>
      <xdr:rowOff>419100</xdr:rowOff>
    </xdr:from>
    <xdr:to>
      <xdr:col>2</xdr:col>
      <xdr:colOff>1790796</xdr:colOff>
      <xdr:row>93</xdr:row>
      <xdr:rowOff>152432</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500-000004000000}"/>
            </a:ext>
          </a:extLst>
        </xdr:cNvPr>
        <xdr:cNvGrpSpPr>
          <a:grpSpLocks/>
        </xdr:cNvGrpSpPr>
      </xdr:nvGrpSpPr>
      <xdr:grpSpPr bwMode="auto">
        <a:xfrm>
          <a:off x="0" y="0"/>
          <a:ext cx="6075571" cy="1284024"/>
          <a:chOff x="57150" y="47625"/>
          <a:chExt cx="6316603" cy="1200288"/>
        </a:xfrm>
      </xdr:grpSpPr>
      <xdr:pic>
        <xdr:nvPicPr>
          <xdr:cNvPr id="5" name="1 Imagen" descr="ESCUDO-transp-lema-blanco.png">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5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B652A817-F8B2-4216-9C79-FD9B76A50825}"/>
            </a:ext>
          </a:extLst>
        </xdr:cNvPr>
        <xdr:cNvGrpSpPr>
          <a:grpSpLocks/>
        </xdr:cNvGrpSpPr>
      </xdr:nvGrpSpPr>
      <xdr:grpSpPr bwMode="auto">
        <a:xfrm>
          <a:off x="0" y="0"/>
          <a:ext cx="6075571" cy="1284024"/>
          <a:chOff x="57150" y="47625"/>
          <a:chExt cx="6316603" cy="1200288"/>
        </a:xfrm>
      </xdr:grpSpPr>
      <xdr:pic>
        <xdr:nvPicPr>
          <xdr:cNvPr id="8" name="1 Imagen" descr="ESCUDO-transp-lema-blanco.png">
            <a:extLst>
              <a:ext uri="{FF2B5EF4-FFF2-40B4-BE49-F238E27FC236}">
                <a16:creationId xmlns:a16="http://schemas.microsoft.com/office/drawing/2014/main" id="{3264515A-438A-42C6-922A-F79A2A31D59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7DC241E1-0A92-44EF-920A-B5E280A52FF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6727</xdr:colOff>
      <xdr:row>77</xdr:row>
      <xdr:rowOff>76200</xdr:rowOff>
    </xdr:from>
    <xdr:to>
      <xdr:col>3</xdr:col>
      <xdr:colOff>6727</xdr:colOff>
      <xdr:row>78</xdr:row>
      <xdr:rowOff>129560</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4" y="26221353"/>
          <a:ext cx="0" cy="113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2917</xdr:colOff>
      <xdr:row>85</xdr:row>
      <xdr:rowOff>0</xdr:rowOff>
    </xdr:from>
    <xdr:to>
      <xdr:col>3</xdr:col>
      <xdr:colOff>2917</xdr:colOff>
      <xdr:row>87</xdr:row>
      <xdr:rowOff>7652</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4" y="33823469"/>
          <a:ext cx="0" cy="678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600-000004000000}"/>
            </a:ext>
          </a:extLst>
        </xdr:cNvPr>
        <xdr:cNvGrpSpPr>
          <a:grpSpLocks/>
        </xdr:cNvGrpSpPr>
      </xdr:nvGrpSpPr>
      <xdr:grpSpPr bwMode="auto">
        <a:xfrm>
          <a:off x="0" y="0"/>
          <a:ext cx="5897328" cy="1287228"/>
          <a:chOff x="57150" y="47625"/>
          <a:chExt cx="6316603" cy="1200288"/>
        </a:xfrm>
      </xdr:grpSpPr>
      <xdr:pic>
        <xdr:nvPicPr>
          <xdr:cNvPr id="5" name="1 Imagen" descr="ESCUDO-transp-lema-blanco.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6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6FFB4084-EA02-4A55-A38B-15719FBC7752}"/>
            </a:ext>
          </a:extLst>
        </xdr:cNvPr>
        <xdr:cNvGrpSpPr>
          <a:grpSpLocks/>
        </xdr:cNvGrpSpPr>
      </xdr:nvGrpSpPr>
      <xdr:grpSpPr bwMode="auto">
        <a:xfrm>
          <a:off x="0" y="0"/>
          <a:ext cx="5897328" cy="1287228"/>
          <a:chOff x="57150" y="47625"/>
          <a:chExt cx="6316603" cy="1200288"/>
        </a:xfrm>
      </xdr:grpSpPr>
      <xdr:pic>
        <xdr:nvPicPr>
          <xdr:cNvPr id="8" name="1 Imagen" descr="ESCUDO-transp-lema-blanco.png">
            <a:extLst>
              <a:ext uri="{FF2B5EF4-FFF2-40B4-BE49-F238E27FC236}">
                <a16:creationId xmlns:a16="http://schemas.microsoft.com/office/drawing/2014/main" id="{C705610C-7D53-4883-B719-BC32C8BEEF1E}"/>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17AAC446-3D23-4293-A508-B45FF2335B5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1011</xdr:colOff>
      <xdr:row>76</xdr:row>
      <xdr:rowOff>53340</xdr:rowOff>
    </xdr:from>
    <xdr:to>
      <xdr:col>3</xdr:col>
      <xdr:colOff>6876</xdr:colOff>
      <xdr:row>77</xdr:row>
      <xdr:rowOff>175286</xdr:rowOff>
    </xdr:to>
    <xdr:pic>
      <xdr:nvPicPr>
        <xdr:cNvPr id="2" name="Imagen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128" y="22116350"/>
          <a:ext cx="5865" cy="1035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4822</xdr:colOff>
      <xdr:row>85</xdr:row>
      <xdr:rowOff>0</xdr:rowOff>
    </xdr:from>
    <xdr:to>
      <xdr:col>3</xdr:col>
      <xdr:colOff>6822</xdr:colOff>
      <xdr:row>87</xdr:row>
      <xdr:rowOff>7652</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39" y="30791020"/>
          <a:ext cx="2000" cy="8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700-000004000000}"/>
            </a:ext>
          </a:extLst>
        </xdr:cNvPr>
        <xdr:cNvGrpSpPr>
          <a:grpSpLocks/>
        </xdr:cNvGrpSpPr>
      </xdr:nvGrpSpPr>
      <xdr:grpSpPr bwMode="auto">
        <a:xfrm>
          <a:off x="0" y="0"/>
          <a:ext cx="7308013" cy="1282630"/>
          <a:chOff x="57150" y="47625"/>
          <a:chExt cx="6316603" cy="1200288"/>
        </a:xfrm>
      </xdr:grpSpPr>
      <xdr:pic>
        <xdr:nvPicPr>
          <xdr:cNvPr id="5" name="1 Imagen" descr="ESCUDO-transp-lema-blanco.png">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7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7CE30897-C706-49C7-B5FB-D5EEAF16B408}"/>
            </a:ext>
          </a:extLst>
        </xdr:cNvPr>
        <xdr:cNvGrpSpPr>
          <a:grpSpLocks/>
        </xdr:cNvGrpSpPr>
      </xdr:nvGrpSpPr>
      <xdr:grpSpPr bwMode="auto">
        <a:xfrm>
          <a:off x="0" y="0"/>
          <a:ext cx="7308013" cy="1282630"/>
          <a:chOff x="57150" y="47625"/>
          <a:chExt cx="6316603" cy="1200288"/>
        </a:xfrm>
      </xdr:grpSpPr>
      <xdr:pic>
        <xdr:nvPicPr>
          <xdr:cNvPr id="8" name="1 Imagen" descr="ESCUDO-transp-lema-blanco.png">
            <a:extLst>
              <a:ext uri="{FF2B5EF4-FFF2-40B4-BE49-F238E27FC236}">
                <a16:creationId xmlns:a16="http://schemas.microsoft.com/office/drawing/2014/main" id="{5E634731-9101-45F1-A426-68A089085315}"/>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5BF998A-B0F6-4317-B24E-67BB45CF803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6727</xdr:colOff>
      <xdr:row>83</xdr:row>
      <xdr:rowOff>5404</xdr:rowOff>
    </xdr:from>
    <xdr:to>
      <xdr:col>3</xdr:col>
      <xdr:colOff>6727</xdr:colOff>
      <xdr:row>85</xdr:row>
      <xdr:rowOff>32</xdr:rowOff>
    </xdr:to>
    <xdr:pic>
      <xdr:nvPicPr>
        <xdr:cNvPr id="2" name="Imagen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4" y="30077190"/>
          <a:ext cx="0" cy="75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800-000003000000}"/>
            </a:ext>
          </a:extLst>
        </xdr:cNvPr>
        <xdr:cNvGrpSpPr>
          <a:grpSpLocks/>
        </xdr:cNvGrpSpPr>
      </xdr:nvGrpSpPr>
      <xdr:grpSpPr bwMode="auto">
        <a:xfrm>
          <a:off x="0" y="0"/>
          <a:ext cx="5964988"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8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B4D9AC44-6410-4656-8728-FA432F2A026B}"/>
            </a:ext>
          </a:extLst>
        </xdr:cNvPr>
        <xdr:cNvGrpSpPr>
          <a:grpSpLocks/>
        </xdr:cNvGrpSpPr>
      </xdr:nvGrpSpPr>
      <xdr:grpSpPr bwMode="auto">
        <a:xfrm>
          <a:off x="0" y="0"/>
          <a:ext cx="5964988" cy="1282630"/>
          <a:chOff x="57150" y="47625"/>
          <a:chExt cx="6316603" cy="1200288"/>
        </a:xfrm>
      </xdr:grpSpPr>
      <xdr:pic>
        <xdr:nvPicPr>
          <xdr:cNvPr id="7" name="1 Imagen" descr="ESCUDO-transp-lema-blanco.png">
            <a:extLst>
              <a:ext uri="{FF2B5EF4-FFF2-40B4-BE49-F238E27FC236}">
                <a16:creationId xmlns:a16="http://schemas.microsoft.com/office/drawing/2014/main" id="{3A5A1F5F-0FE8-48E1-90AB-7BBAD244516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3DEC6959-445E-4925-BA9D-81A8791042F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556261</xdr:colOff>
      <xdr:row>62</xdr:row>
      <xdr:rowOff>0</xdr:rowOff>
    </xdr:from>
    <xdr:to>
      <xdr:col>2</xdr:col>
      <xdr:colOff>2088014</xdr:colOff>
      <xdr:row>63</xdr:row>
      <xdr:rowOff>83843</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900-000003000000}"/>
            </a:ext>
          </a:extLst>
        </xdr:cNvPr>
        <xdr:cNvGrpSpPr>
          <a:grpSpLocks/>
        </xdr:cNvGrpSpPr>
      </xdr:nvGrpSpPr>
      <xdr:grpSpPr bwMode="auto">
        <a:xfrm>
          <a:off x="0" y="0"/>
          <a:ext cx="6584113"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9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41BE943F-C570-4298-A3DE-8098B72F4311}"/>
            </a:ext>
          </a:extLst>
        </xdr:cNvPr>
        <xdr:cNvGrpSpPr>
          <a:grpSpLocks/>
        </xdr:cNvGrpSpPr>
      </xdr:nvGrpSpPr>
      <xdr:grpSpPr bwMode="auto">
        <a:xfrm>
          <a:off x="0" y="0"/>
          <a:ext cx="6584113" cy="1282630"/>
          <a:chOff x="57150" y="47625"/>
          <a:chExt cx="6316603" cy="1200288"/>
        </a:xfrm>
      </xdr:grpSpPr>
      <xdr:pic>
        <xdr:nvPicPr>
          <xdr:cNvPr id="7" name="1 Imagen" descr="ESCUDO-transp-lema-blanco.png">
            <a:extLst>
              <a:ext uri="{FF2B5EF4-FFF2-40B4-BE49-F238E27FC236}">
                <a16:creationId xmlns:a16="http://schemas.microsoft.com/office/drawing/2014/main" id="{DB63580F-3891-4405-9D6A-06BB67036E7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3AF1B827-0A97-410F-AEEB-60B216C011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868681</xdr:colOff>
      <xdr:row>98</xdr:row>
      <xdr:rowOff>15240</xdr:rowOff>
    </xdr:from>
    <xdr:to>
      <xdr:col>2</xdr:col>
      <xdr:colOff>1806022</xdr:colOff>
      <xdr:row>99</xdr:row>
      <xdr:rowOff>129566</xdr:rowOff>
    </xdr:to>
    <xdr:pic>
      <xdr:nvPicPr>
        <xdr:cNvPr id="2" name="Imagen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105</xdr:row>
      <xdr:rowOff>68580</xdr:rowOff>
    </xdr:from>
    <xdr:to>
      <xdr:col>3</xdr:col>
      <xdr:colOff>1021334</xdr:colOff>
      <xdr:row>107</xdr:row>
      <xdr:rowOff>26</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A00-000004000000}"/>
            </a:ext>
          </a:extLst>
        </xdr:cNvPr>
        <xdr:cNvGrpSpPr>
          <a:grpSpLocks/>
        </xdr:cNvGrpSpPr>
      </xdr:nvGrpSpPr>
      <xdr:grpSpPr bwMode="auto">
        <a:xfrm>
          <a:off x="0" y="0"/>
          <a:ext cx="9032038" cy="1282630"/>
          <a:chOff x="57150" y="47625"/>
          <a:chExt cx="6316603" cy="1200288"/>
        </a:xfrm>
      </xdr:grpSpPr>
      <xdr:pic>
        <xdr:nvPicPr>
          <xdr:cNvPr id="5" name="1 Imagen" descr="ESCUDO-transp-lema-blanco.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A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F74C229E-795B-4668-ACE0-854C6E627EB8}"/>
            </a:ext>
          </a:extLst>
        </xdr:cNvPr>
        <xdr:cNvGrpSpPr>
          <a:grpSpLocks/>
        </xdr:cNvGrpSpPr>
      </xdr:nvGrpSpPr>
      <xdr:grpSpPr bwMode="auto">
        <a:xfrm>
          <a:off x="0" y="0"/>
          <a:ext cx="9032038" cy="1282630"/>
          <a:chOff x="57150" y="47625"/>
          <a:chExt cx="6316603" cy="1200288"/>
        </a:xfrm>
      </xdr:grpSpPr>
      <xdr:pic>
        <xdr:nvPicPr>
          <xdr:cNvPr id="8" name="1 Imagen" descr="ESCUDO-transp-lema-blanco.png">
            <a:extLst>
              <a:ext uri="{FF2B5EF4-FFF2-40B4-BE49-F238E27FC236}">
                <a16:creationId xmlns:a16="http://schemas.microsoft.com/office/drawing/2014/main" id="{140F34F6-FA12-426C-912D-10FB7A345FD4}"/>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10BEE9EE-D5C9-40FF-9B0F-FB9768BE9B6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182880</xdr:colOff>
      <xdr:row>137</xdr:row>
      <xdr:rowOff>144780</xdr:rowOff>
    </xdr:from>
    <xdr:to>
      <xdr:col>3</xdr:col>
      <xdr:colOff>1112808</xdr:colOff>
      <xdr:row>137</xdr:row>
      <xdr:rowOff>281952</xdr:rowOff>
    </xdr:to>
    <xdr:pic>
      <xdr:nvPicPr>
        <xdr:cNvPr id="2" name="Imagen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9803" y="59578338"/>
          <a:ext cx="1259640"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5568</xdr:colOff>
      <xdr:row>150</xdr:row>
      <xdr:rowOff>7620</xdr:rowOff>
    </xdr:from>
    <xdr:to>
      <xdr:col>3</xdr:col>
      <xdr:colOff>1089896</xdr:colOff>
      <xdr:row>150</xdr:row>
      <xdr:rowOff>194331</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2203" y="64460120"/>
          <a:ext cx="1084328" cy="186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B00-000004000000}"/>
            </a:ext>
          </a:extLst>
        </xdr:cNvPr>
        <xdr:cNvGrpSpPr>
          <a:grpSpLocks/>
        </xdr:cNvGrpSpPr>
      </xdr:nvGrpSpPr>
      <xdr:grpSpPr bwMode="auto">
        <a:xfrm>
          <a:off x="0" y="0"/>
          <a:ext cx="9108238" cy="1288980"/>
          <a:chOff x="57150" y="47625"/>
          <a:chExt cx="6316603" cy="1200288"/>
        </a:xfrm>
      </xdr:grpSpPr>
      <xdr:pic>
        <xdr:nvPicPr>
          <xdr:cNvPr id="5" name="1 Imagen" descr="ESCUDO-transp-lema-blanco.png">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B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106</xdr:row>
      <xdr:rowOff>91440</xdr:rowOff>
    </xdr:from>
    <xdr:to>
      <xdr:col>3</xdr:col>
      <xdr:colOff>998498</xdr:colOff>
      <xdr:row>106</xdr:row>
      <xdr:rowOff>228612</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119</xdr:row>
      <xdr:rowOff>0</xdr:rowOff>
    </xdr:from>
    <xdr:to>
      <xdr:col>3</xdr:col>
      <xdr:colOff>922268</xdr:colOff>
      <xdr:row>120</xdr:row>
      <xdr:rowOff>114326</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C00-000004000000}"/>
            </a:ext>
          </a:extLst>
        </xdr:cNvPr>
        <xdr:cNvGrpSpPr>
          <a:grpSpLocks/>
        </xdr:cNvGrpSpPr>
      </xdr:nvGrpSpPr>
      <xdr:grpSpPr bwMode="auto">
        <a:xfrm>
          <a:off x="0" y="0"/>
          <a:ext cx="7193713" cy="1282630"/>
          <a:chOff x="57150" y="47625"/>
          <a:chExt cx="6316603" cy="1200288"/>
        </a:xfrm>
      </xdr:grpSpPr>
      <xdr:pic>
        <xdr:nvPicPr>
          <xdr:cNvPr id="5" name="1 Imagen" descr="ESCUDO-transp-lema-blanco.png">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C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A350B44C-BD08-4F48-A1B5-A4F4CFA0E2A1}"/>
            </a:ext>
          </a:extLst>
        </xdr:cNvPr>
        <xdr:cNvGrpSpPr>
          <a:grpSpLocks/>
        </xdr:cNvGrpSpPr>
      </xdr:nvGrpSpPr>
      <xdr:grpSpPr bwMode="auto">
        <a:xfrm>
          <a:off x="0" y="0"/>
          <a:ext cx="7193713" cy="1282630"/>
          <a:chOff x="57150" y="47625"/>
          <a:chExt cx="6316603" cy="1200288"/>
        </a:xfrm>
      </xdr:grpSpPr>
      <xdr:pic>
        <xdr:nvPicPr>
          <xdr:cNvPr id="8" name="1 Imagen" descr="ESCUDO-transp-lema-blanco.png">
            <a:extLst>
              <a:ext uri="{FF2B5EF4-FFF2-40B4-BE49-F238E27FC236}">
                <a16:creationId xmlns:a16="http://schemas.microsoft.com/office/drawing/2014/main" id="{28083193-173A-4D36-A695-33F69E0F4306}"/>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44D37F0C-A342-4E0A-AC7B-C24FB0604E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784860</xdr:colOff>
      <xdr:row>106</xdr:row>
      <xdr:rowOff>53340</xdr:rowOff>
    </xdr:from>
    <xdr:to>
      <xdr:col>2</xdr:col>
      <xdr:colOff>1402080</xdr:colOff>
      <xdr:row>107</xdr:row>
      <xdr:rowOff>144780</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D00-000003000000}"/>
            </a:ext>
          </a:extLst>
        </xdr:cNvPr>
        <xdr:cNvGrpSpPr>
          <a:grpSpLocks/>
        </xdr:cNvGrpSpPr>
      </xdr:nvGrpSpPr>
      <xdr:grpSpPr bwMode="auto">
        <a:xfrm>
          <a:off x="0" y="0"/>
          <a:ext cx="6866073" cy="1286522"/>
          <a:chOff x="57150" y="47625"/>
          <a:chExt cx="6316603" cy="1200288"/>
        </a:xfrm>
      </xdr:grpSpPr>
      <xdr:pic>
        <xdr:nvPicPr>
          <xdr:cNvPr id="4" name="1 Imagen" descr="ESCUDO-transp-lema-blanco.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E97473DA-3E72-489A-8ED1-1C816E23E37E}"/>
            </a:ext>
          </a:extLst>
        </xdr:cNvPr>
        <xdr:cNvGrpSpPr>
          <a:grpSpLocks/>
        </xdr:cNvGrpSpPr>
      </xdr:nvGrpSpPr>
      <xdr:grpSpPr bwMode="auto">
        <a:xfrm>
          <a:off x="0" y="0"/>
          <a:ext cx="6866073" cy="1286522"/>
          <a:chOff x="57150" y="47625"/>
          <a:chExt cx="6316603" cy="1200288"/>
        </a:xfrm>
      </xdr:grpSpPr>
      <xdr:pic>
        <xdr:nvPicPr>
          <xdr:cNvPr id="7" name="1 Imagen" descr="ESCUDO-transp-lema-blanco.png">
            <a:extLst>
              <a:ext uri="{FF2B5EF4-FFF2-40B4-BE49-F238E27FC236}">
                <a16:creationId xmlns:a16="http://schemas.microsoft.com/office/drawing/2014/main" id="{BAB399C5-4777-42C7-85BE-38F33FAA44F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40FB57AE-F724-45D4-9D01-50F03541A2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45ECF688-E058-4F75-80FC-14BCC9002305}"/>
            </a:ext>
          </a:extLst>
        </xdr:cNvPr>
        <xdr:cNvGrpSpPr>
          <a:grpSpLocks/>
        </xdr:cNvGrpSpPr>
      </xdr:nvGrpSpPr>
      <xdr:grpSpPr bwMode="auto">
        <a:xfrm>
          <a:off x="0" y="0"/>
          <a:ext cx="6866073" cy="1286522"/>
          <a:chOff x="57150" y="47625"/>
          <a:chExt cx="6316603" cy="1200288"/>
        </a:xfrm>
      </xdr:grpSpPr>
      <xdr:pic>
        <xdr:nvPicPr>
          <xdr:cNvPr id="10" name="1 Imagen" descr="ESCUDO-transp-lema-blanco.png">
            <a:extLst>
              <a:ext uri="{FF2B5EF4-FFF2-40B4-BE49-F238E27FC236}">
                <a16:creationId xmlns:a16="http://schemas.microsoft.com/office/drawing/2014/main" id="{87023D2E-8A19-4B95-B372-73D0EB311A0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8D7F7DD0-D52C-4335-AF42-2C56136E809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106</xdr:row>
      <xdr:rowOff>53340</xdr:rowOff>
    </xdr:from>
    <xdr:to>
      <xdr:col>2</xdr:col>
      <xdr:colOff>1402080</xdr:colOff>
      <xdr:row>107</xdr:row>
      <xdr:rowOff>144780</xdr:rowOff>
    </xdr:to>
    <xdr:pic>
      <xdr:nvPicPr>
        <xdr:cNvPr id="12" name="Imagen 11">
          <a:extLst>
            <a:ext uri="{FF2B5EF4-FFF2-40B4-BE49-F238E27FC236}">
              <a16:creationId xmlns:a16="http://schemas.microsoft.com/office/drawing/2014/main" id="{F11CFD56-91EF-410A-B666-3D91A9CF533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0" y="38591490"/>
          <a:ext cx="0" cy="207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E9EE7356-17E8-4D45-A3F4-A156AC3FB025}"/>
            </a:ext>
          </a:extLst>
        </xdr:cNvPr>
        <xdr:cNvGrpSpPr>
          <a:grpSpLocks/>
        </xdr:cNvGrpSpPr>
      </xdr:nvGrpSpPr>
      <xdr:grpSpPr bwMode="auto">
        <a:xfrm>
          <a:off x="0" y="0"/>
          <a:ext cx="6866073" cy="1286522"/>
          <a:chOff x="57150" y="47625"/>
          <a:chExt cx="6316603" cy="1200288"/>
        </a:xfrm>
      </xdr:grpSpPr>
      <xdr:pic>
        <xdr:nvPicPr>
          <xdr:cNvPr id="14" name="1 Imagen" descr="ESCUDO-transp-lema-blanco.png">
            <a:extLst>
              <a:ext uri="{FF2B5EF4-FFF2-40B4-BE49-F238E27FC236}">
                <a16:creationId xmlns:a16="http://schemas.microsoft.com/office/drawing/2014/main" id="{3FDBE14B-7F85-4595-A924-B52DAB98DF2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6F7A8E8-A812-438A-9E7A-7995A3A726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E9B3BDA7-599D-4319-AA7B-72D42142C3C5}"/>
            </a:ext>
          </a:extLst>
        </xdr:cNvPr>
        <xdr:cNvGrpSpPr>
          <a:grpSpLocks/>
        </xdr:cNvGrpSpPr>
      </xdr:nvGrpSpPr>
      <xdr:grpSpPr bwMode="auto">
        <a:xfrm>
          <a:off x="0" y="0"/>
          <a:ext cx="6866073" cy="1286522"/>
          <a:chOff x="57150" y="47625"/>
          <a:chExt cx="6316603" cy="1200288"/>
        </a:xfrm>
      </xdr:grpSpPr>
      <xdr:pic>
        <xdr:nvPicPr>
          <xdr:cNvPr id="17" name="1 Imagen" descr="ESCUDO-transp-lema-blanco.png">
            <a:extLst>
              <a:ext uri="{FF2B5EF4-FFF2-40B4-BE49-F238E27FC236}">
                <a16:creationId xmlns:a16="http://schemas.microsoft.com/office/drawing/2014/main" id="{F92ACFA5-DFEB-4181-977C-F5063EF28C8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838E3F8E-2D5C-4004-B904-344D43031F5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3F36F0D9-4522-4A2C-B0C5-8B72C0DD338C}"/>
            </a:ext>
          </a:extLst>
        </xdr:cNvPr>
        <xdr:cNvGrpSpPr>
          <a:grpSpLocks/>
        </xdr:cNvGrpSpPr>
      </xdr:nvGrpSpPr>
      <xdr:grpSpPr bwMode="auto">
        <a:xfrm>
          <a:off x="0" y="0"/>
          <a:ext cx="6866073" cy="1286522"/>
          <a:chOff x="57150" y="47625"/>
          <a:chExt cx="6316603" cy="1200288"/>
        </a:xfrm>
      </xdr:grpSpPr>
      <xdr:pic>
        <xdr:nvPicPr>
          <xdr:cNvPr id="20" name="1 Imagen" descr="ESCUDO-transp-lema-blanco.png">
            <a:extLst>
              <a:ext uri="{FF2B5EF4-FFF2-40B4-BE49-F238E27FC236}">
                <a16:creationId xmlns:a16="http://schemas.microsoft.com/office/drawing/2014/main" id="{4F37354D-FC89-4CCB-A1A0-914D411AD47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9692E5AA-2660-439D-AC98-69A7A4F52E8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106</xdr:row>
      <xdr:rowOff>53340</xdr:rowOff>
    </xdr:from>
    <xdr:to>
      <xdr:col>2</xdr:col>
      <xdr:colOff>1402080</xdr:colOff>
      <xdr:row>107</xdr:row>
      <xdr:rowOff>144780</xdr:rowOff>
    </xdr:to>
    <xdr:pic>
      <xdr:nvPicPr>
        <xdr:cNvPr id="22" name="Imagen 21">
          <a:extLst>
            <a:ext uri="{FF2B5EF4-FFF2-40B4-BE49-F238E27FC236}">
              <a16:creationId xmlns:a16="http://schemas.microsoft.com/office/drawing/2014/main" id="{042960E4-FA28-47E5-83D7-2559A089B96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0" y="35311080"/>
          <a:ext cx="0" cy="161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3" name="1 Grupo">
          <a:extLst>
            <a:ext uri="{FF2B5EF4-FFF2-40B4-BE49-F238E27FC236}">
              <a16:creationId xmlns:a16="http://schemas.microsoft.com/office/drawing/2014/main" id="{0BEB7754-ED7B-42E0-A014-E52184438EFB}"/>
            </a:ext>
          </a:extLst>
        </xdr:cNvPr>
        <xdr:cNvGrpSpPr>
          <a:grpSpLocks/>
        </xdr:cNvGrpSpPr>
      </xdr:nvGrpSpPr>
      <xdr:grpSpPr bwMode="auto">
        <a:xfrm>
          <a:off x="0" y="0"/>
          <a:ext cx="6866073" cy="1286522"/>
          <a:chOff x="57150" y="47625"/>
          <a:chExt cx="6316603" cy="1200288"/>
        </a:xfrm>
      </xdr:grpSpPr>
      <xdr:pic>
        <xdr:nvPicPr>
          <xdr:cNvPr id="24" name="1 Imagen" descr="ESCUDO-transp-lema-blanco.png">
            <a:extLst>
              <a:ext uri="{FF2B5EF4-FFF2-40B4-BE49-F238E27FC236}">
                <a16:creationId xmlns:a16="http://schemas.microsoft.com/office/drawing/2014/main" id="{53426267-3A21-6971-B289-4F318BBDA57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5" name="3 CuadroTexto">
            <a:extLst>
              <a:ext uri="{FF2B5EF4-FFF2-40B4-BE49-F238E27FC236}">
                <a16:creationId xmlns:a16="http://schemas.microsoft.com/office/drawing/2014/main" id="{EE1887EF-9F19-203C-1801-EB693CD1587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6" name="1 Grupo">
          <a:extLst>
            <a:ext uri="{FF2B5EF4-FFF2-40B4-BE49-F238E27FC236}">
              <a16:creationId xmlns:a16="http://schemas.microsoft.com/office/drawing/2014/main" id="{1926E82A-C39C-4635-81AF-CB741FF44E88}"/>
            </a:ext>
          </a:extLst>
        </xdr:cNvPr>
        <xdr:cNvGrpSpPr>
          <a:grpSpLocks/>
        </xdr:cNvGrpSpPr>
      </xdr:nvGrpSpPr>
      <xdr:grpSpPr bwMode="auto">
        <a:xfrm>
          <a:off x="0" y="0"/>
          <a:ext cx="6866073" cy="1286522"/>
          <a:chOff x="57150" y="47625"/>
          <a:chExt cx="6316603" cy="1200288"/>
        </a:xfrm>
      </xdr:grpSpPr>
      <xdr:pic>
        <xdr:nvPicPr>
          <xdr:cNvPr id="27" name="1 Imagen" descr="ESCUDO-transp-lema-blanco.png">
            <a:extLst>
              <a:ext uri="{FF2B5EF4-FFF2-40B4-BE49-F238E27FC236}">
                <a16:creationId xmlns:a16="http://schemas.microsoft.com/office/drawing/2014/main" id="{C3F0AE9C-1946-81BC-8748-93128E9DECD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8" name="3 CuadroTexto">
            <a:extLst>
              <a:ext uri="{FF2B5EF4-FFF2-40B4-BE49-F238E27FC236}">
                <a16:creationId xmlns:a16="http://schemas.microsoft.com/office/drawing/2014/main" id="{2C52A423-9516-F610-8C63-C11D3F216C9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9" name="1 Grupo">
          <a:extLst>
            <a:ext uri="{FF2B5EF4-FFF2-40B4-BE49-F238E27FC236}">
              <a16:creationId xmlns:a16="http://schemas.microsoft.com/office/drawing/2014/main" id="{8B101FB1-D6E2-406F-BC03-6CEAD863BEBE}"/>
            </a:ext>
          </a:extLst>
        </xdr:cNvPr>
        <xdr:cNvGrpSpPr>
          <a:grpSpLocks/>
        </xdr:cNvGrpSpPr>
      </xdr:nvGrpSpPr>
      <xdr:grpSpPr bwMode="auto">
        <a:xfrm>
          <a:off x="0" y="0"/>
          <a:ext cx="6866073" cy="1286522"/>
          <a:chOff x="57150" y="47625"/>
          <a:chExt cx="6316603" cy="1200288"/>
        </a:xfrm>
      </xdr:grpSpPr>
      <xdr:pic>
        <xdr:nvPicPr>
          <xdr:cNvPr id="30" name="1 Imagen" descr="ESCUDO-transp-lema-blanco.png">
            <a:extLst>
              <a:ext uri="{FF2B5EF4-FFF2-40B4-BE49-F238E27FC236}">
                <a16:creationId xmlns:a16="http://schemas.microsoft.com/office/drawing/2014/main" id="{6AA6BC33-BBB2-2F1E-1CF0-39CD58B1420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1" name="3 CuadroTexto">
            <a:extLst>
              <a:ext uri="{FF2B5EF4-FFF2-40B4-BE49-F238E27FC236}">
                <a16:creationId xmlns:a16="http://schemas.microsoft.com/office/drawing/2014/main" id="{29C1A699-E1D6-6B71-22FF-34896EAEFF3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106</xdr:row>
      <xdr:rowOff>53340</xdr:rowOff>
    </xdr:from>
    <xdr:to>
      <xdr:col>2</xdr:col>
      <xdr:colOff>1402080</xdr:colOff>
      <xdr:row>107</xdr:row>
      <xdr:rowOff>144780</xdr:rowOff>
    </xdr:to>
    <xdr:pic>
      <xdr:nvPicPr>
        <xdr:cNvPr id="32" name="Imagen 31">
          <a:extLst>
            <a:ext uri="{FF2B5EF4-FFF2-40B4-BE49-F238E27FC236}">
              <a16:creationId xmlns:a16="http://schemas.microsoft.com/office/drawing/2014/main" id="{592A729D-A847-4A59-8616-42BDBB36FF7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0" y="35311080"/>
          <a:ext cx="0" cy="161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3" name="1 Grupo">
          <a:extLst>
            <a:ext uri="{FF2B5EF4-FFF2-40B4-BE49-F238E27FC236}">
              <a16:creationId xmlns:a16="http://schemas.microsoft.com/office/drawing/2014/main" id="{4E5C4E26-5DE7-4398-BC9D-1D565D88FFB5}"/>
            </a:ext>
          </a:extLst>
        </xdr:cNvPr>
        <xdr:cNvGrpSpPr>
          <a:grpSpLocks/>
        </xdr:cNvGrpSpPr>
      </xdr:nvGrpSpPr>
      <xdr:grpSpPr bwMode="auto">
        <a:xfrm>
          <a:off x="0" y="0"/>
          <a:ext cx="6866073" cy="1286522"/>
          <a:chOff x="57150" y="47625"/>
          <a:chExt cx="6316603" cy="1200288"/>
        </a:xfrm>
      </xdr:grpSpPr>
      <xdr:pic>
        <xdr:nvPicPr>
          <xdr:cNvPr id="34" name="1 Imagen" descr="ESCUDO-transp-lema-blanco.png">
            <a:extLst>
              <a:ext uri="{FF2B5EF4-FFF2-40B4-BE49-F238E27FC236}">
                <a16:creationId xmlns:a16="http://schemas.microsoft.com/office/drawing/2014/main" id="{0E8A7594-0480-4BD0-8B42-5E8387A3E4B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5" name="3 CuadroTexto">
            <a:extLst>
              <a:ext uri="{FF2B5EF4-FFF2-40B4-BE49-F238E27FC236}">
                <a16:creationId xmlns:a16="http://schemas.microsoft.com/office/drawing/2014/main" id="{78BA4FE4-E6DA-8E7E-F23B-C3CB301BE1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6" name="1 Grupo">
          <a:extLst>
            <a:ext uri="{FF2B5EF4-FFF2-40B4-BE49-F238E27FC236}">
              <a16:creationId xmlns:a16="http://schemas.microsoft.com/office/drawing/2014/main" id="{10EC308E-F383-403E-8A3A-7F358E52767C}"/>
            </a:ext>
          </a:extLst>
        </xdr:cNvPr>
        <xdr:cNvGrpSpPr>
          <a:grpSpLocks/>
        </xdr:cNvGrpSpPr>
      </xdr:nvGrpSpPr>
      <xdr:grpSpPr bwMode="auto">
        <a:xfrm>
          <a:off x="0" y="0"/>
          <a:ext cx="6866073" cy="1286522"/>
          <a:chOff x="57150" y="47625"/>
          <a:chExt cx="6316603" cy="1200288"/>
        </a:xfrm>
      </xdr:grpSpPr>
      <xdr:pic>
        <xdr:nvPicPr>
          <xdr:cNvPr id="37" name="1 Imagen" descr="ESCUDO-transp-lema-blanco.png">
            <a:extLst>
              <a:ext uri="{FF2B5EF4-FFF2-40B4-BE49-F238E27FC236}">
                <a16:creationId xmlns:a16="http://schemas.microsoft.com/office/drawing/2014/main" id="{48F66582-ACBA-8C98-1A08-4604929CEDB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8" name="3 CuadroTexto">
            <a:extLst>
              <a:ext uri="{FF2B5EF4-FFF2-40B4-BE49-F238E27FC236}">
                <a16:creationId xmlns:a16="http://schemas.microsoft.com/office/drawing/2014/main" id="{35E94119-E80D-A398-2844-46DD6D9F4A0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9" name="1 Grupo">
          <a:extLst>
            <a:ext uri="{FF2B5EF4-FFF2-40B4-BE49-F238E27FC236}">
              <a16:creationId xmlns:a16="http://schemas.microsoft.com/office/drawing/2014/main" id="{DC9001A6-0968-40C9-976B-40CCC54D7D35}"/>
            </a:ext>
          </a:extLst>
        </xdr:cNvPr>
        <xdr:cNvGrpSpPr>
          <a:grpSpLocks/>
        </xdr:cNvGrpSpPr>
      </xdr:nvGrpSpPr>
      <xdr:grpSpPr bwMode="auto">
        <a:xfrm>
          <a:off x="0" y="0"/>
          <a:ext cx="6866073" cy="1286522"/>
          <a:chOff x="57150" y="47625"/>
          <a:chExt cx="6316603" cy="1200288"/>
        </a:xfrm>
      </xdr:grpSpPr>
      <xdr:pic>
        <xdr:nvPicPr>
          <xdr:cNvPr id="40" name="1 Imagen" descr="ESCUDO-transp-lema-blanco.png">
            <a:extLst>
              <a:ext uri="{FF2B5EF4-FFF2-40B4-BE49-F238E27FC236}">
                <a16:creationId xmlns:a16="http://schemas.microsoft.com/office/drawing/2014/main" id="{40ABEFAE-5037-0751-25BD-3C95A5C291E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1" name="3 CuadroTexto">
            <a:extLst>
              <a:ext uri="{FF2B5EF4-FFF2-40B4-BE49-F238E27FC236}">
                <a16:creationId xmlns:a16="http://schemas.microsoft.com/office/drawing/2014/main" id="{56CD917E-F5A2-AE83-7B41-CF12AE64849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2916</xdr:colOff>
      <xdr:row>163</xdr:row>
      <xdr:rowOff>53340</xdr:rowOff>
    </xdr:from>
    <xdr:to>
      <xdr:col>3</xdr:col>
      <xdr:colOff>4939</xdr:colOff>
      <xdr:row>164</xdr:row>
      <xdr:rowOff>160045</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54617983"/>
          <a:ext cx="2023" cy="147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E00-000004000000}"/>
            </a:ext>
          </a:extLst>
        </xdr:cNvPr>
        <xdr:cNvGrpSpPr>
          <a:grpSpLocks/>
        </xdr:cNvGrpSpPr>
      </xdr:nvGrpSpPr>
      <xdr:grpSpPr bwMode="auto">
        <a:xfrm>
          <a:off x="0" y="0"/>
          <a:ext cx="5756722" cy="1279847"/>
          <a:chOff x="57150" y="47625"/>
          <a:chExt cx="6316603" cy="1200288"/>
        </a:xfrm>
      </xdr:grpSpPr>
      <xdr:pic>
        <xdr:nvPicPr>
          <xdr:cNvPr id="5" name="1 Imagen" descr="ESCUDO-transp-lema-blanco.png">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E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BB394843-329F-455B-A75B-C7042435C871}"/>
            </a:ext>
          </a:extLst>
        </xdr:cNvPr>
        <xdr:cNvGrpSpPr>
          <a:grpSpLocks/>
        </xdr:cNvGrpSpPr>
      </xdr:nvGrpSpPr>
      <xdr:grpSpPr bwMode="auto">
        <a:xfrm>
          <a:off x="0" y="0"/>
          <a:ext cx="5756722" cy="1279847"/>
          <a:chOff x="57150" y="47625"/>
          <a:chExt cx="6316603" cy="1200288"/>
        </a:xfrm>
      </xdr:grpSpPr>
      <xdr:pic>
        <xdr:nvPicPr>
          <xdr:cNvPr id="8" name="1 Imagen" descr="ESCUDO-transp-lema-blanco.png">
            <a:extLst>
              <a:ext uri="{FF2B5EF4-FFF2-40B4-BE49-F238E27FC236}">
                <a16:creationId xmlns:a16="http://schemas.microsoft.com/office/drawing/2014/main" id="{50765837-E138-427B-B106-700BD169199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0433A76-D472-4D39-A8BC-AC819FF30C2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6FE23851-B580-492C-B1EE-1D443232F73B}"/>
            </a:ext>
          </a:extLst>
        </xdr:cNvPr>
        <xdr:cNvGrpSpPr>
          <a:grpSpLocks/>
        </xdr:cNvGrpSpPr>
      </xdr:nvGrpSpPr>
      <xdr:grpSpPr bwMode="auto">
        <a:xfrm>
          <a:off x="0" y="0"/>
          <a:ext cx="5756722" cy="1279847"/>
          <a:chOff x="57150" y="47625"/>
          <a:chExt cx="6316603" cy="1200288"/>
        </a:xfrm>
      </xdr:grpSpPr>
      <xdr:pic>
        <xdr:nvPicPr>
          <xdr:cNvPr id="11" name="1 Imagen" descr="ESCUDO-transp-lema-blanco.png">
            <a:extLst>
              <a:ext uri="{FF2B5EF4-FFF2-40B4-BE49-F238E27FC236}">
                <a16:creationId xmlns:a16="http://schemas.microsoft.com/office/drawing/2014/main" id="{554328F4-924C-4F78-8954-EBBCFA961CB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F47CBCC5-FF10-4BA2-A172-DDF276FB105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F8A05668-A20C-42E2-8FBB-75F7EF076376}"/>
            </a:ext>
          </a:extLst>
        </xdr:cNvPr>
        <xdr:cNvGrpSpPr>
          <a:grpSpLocks/>
        </xdr:cNvGrpSpPr>
      </xdr:nvGrpSpPr>
      <xdr:grpSpPr bwMode="auto">
        <a:xfrm>
          <a:off x="0" y="0"/>
          <a:ext cx="5756722" cy="1279847"/>
          <a:chOff x="57150" y="47625"/>
          <a:chExt cx="6316603" cy="1200288"/>
        </a:xfrm>
      </xdr:grpSpPr>
      <xdr:pic>
        <xdr:nvPicPr>
          <xdr:cNvPr id="14" name="1 Imagen" descr="ESCUDO-transp-lema-blanco.png">
            <a:extLst>
              <a:ext uri="{FF2B5EF4-FFF2-40B4-BE49-F238E27FC236}">
                <a16:creationId xmlns:a16="http://schemas.microsoft.com/office/drawing/2014/main" id="{C2042B12-9818-482B-914C-8BE0A7C1C89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AF50437-7B9C-4FBB-BD2A-2FBF13964E0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3</xdr:col>
      <xdr:colOff>2916</xdr:colOff>
      <xdr:row>163</xdr:row>
      <xdr:rowOff>53340</xdr:rowOff>
    </xdr:from>
    <xdr:to>
      <xdr:col>3</xdr:col>
      <xdr:colOff>4939</xdr:colOff>
      <xdr:row>164</xdr:row>
      <xdr:rowOff>160045</xdr:rowOff>
    </xdr:to>
    <xdr:pic>
      <xdr:nvPicPr>
        <xdr:cNvPr id="17" name="Imagen 16">
          <a:extLst>
            <a:ext uri="{FF2B5EF4-FFF2-40B4-BE49-F238E27FC236}">
              <a16:creationId xmlns:a16="http://schemas.microsoft.com/office/drawing/2014/main" id="{58EC5997-1A30-46D3-A995-93933C74D7B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7366" y="56860440"/>
          <a:ext cx="2023" cy="58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FC13680F-D210-4399-BEAB-98CEE25D5FB1}"/>
            </a:ext>
          </a:extLst>
        </xdr:cNvPr>
        <xdr:cNvGrpSpPr>
          <a:grpSpLocks/>
        </xdr:cNvGrpSpPr>
      </xdr:nvGrpSpPr>
      <xdr:grpSpPr bwMode="auto">
        <a:xfrm>
          <a:off x="0" y="0"/>
          <a:ext cx="5756722" cy="1279847"/>
          <a:chOff x="57150" y="47625"/>
          <a:chExt cx="6316603" cy="1200288"/>
        </a:xfrm>
      </xdr:grpSpPr>
      <xdr:pic>
        <xdr:nvPicPr>
          <xdr:cNvPr id="19" name="1 Imagen" descr="ESCUDO-transp-lema-blanco.png">
            <a:extLst>
              <a:ext uri="{FF2B5EF4-FFF2-40B4-BE49-F238E27FC236}">
                <a16:creationId xmlns:a16="http://schemas.microsoft.com/office/drawing/2014/main" id="{F0B7B0EC-9D63-41E8-A4D6-5F20567BCBF3}"/>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24F546DF-6D6D-4B5D-BAD0-2F0DD4211E4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1" name="1 Grupo">
          <a:extLst>
            <a:ext uri="{FF2B5EF4-FFF2-40B4-BE49-F238E27FC236}">
              <a16:creationId xmlns:a16="http://schemas.microsoft.com/office/drawing/2014/main" id="{B2849F99-782D-4E82-8114-30DD72F0EE1F}"/>
            </a:ext>
          </a:extLst>
        </xdr:cNvPr>
        <xdr:cNvGrpSpPr>
          <a:grpSpLocks/>
        </xdr:cNvGrpSpPr>
      </xdr:nvGrpSpPr>
      <xdr:grpSpPr bwMode="auto">
        <a:xfrm>
          <a:off x="0" y="0"/>
          <a:ext cx="5756722" cy="1279847"/>
          <a:chOff x="57150" y="47625"/>
          <a:chExt cx="6316603" cy="1200288"/>
        </a:xfrm>
      </xdr:grpSpPr>
      <xdr:pic>
        <xdr:nvPicPr>
          <xdr:cNvPr id="22" name="1 Imagen" descr="ESCUDO-transp-lema-blanco.png">
            <a:extLst>
              <a:ext uri="{FF2B5EF4-FFF2-40B4-BE49-F238E27FC236}">
                <a16:creationId xmlns:a16="http://schemas.microsoft.com/office/drawing/2014/main" id="{97FD3BB0-8A1D-47DB-B14B-47E231C518E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3" name="3 CuadroTexto">
            <a:extLst>
              <a:ext uri="{FF2B5EF4-FFF2-40B4-BE49-F238E27FC236}">
                <a16:creationId xmlns:a16="http://schemas.microsoft.com/office/drawing/2014/main" id="{E610885A-CA34-42E5-B873-69594C40278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4" name="1 Grupo">
          <a:extLst>
            <a:ext uri="{FF2B5EF4-FFF2-40B4-BE49-F238E27FC236}">
              <a16:creationId xmlns:a16="http://schemas.microsoft.com/office/drawing/2014/main" id="{F18EACAA-CE42-4040-8493-DA46C7F3F21D}"/>
            </a:ext>
          </a:extLst>
        </xdr:cNvPr>
        <xdr:cNvGrpSpPr>
          <a:grpSpLocks/>
        </xdr:cNvGrpSpPr>
      </xdr:nvGrpSpPr>
      <xdr:grpSpPr bwMode="auto">
        <a:xfrm>
          <a:off x="0" y="0"/>
          <a:ext cx="5756722" cy="1279847"/>
          <a:chOff x="57150" y="47625"/>
          <a:chExt cx="6316603" cy="1200288"/>
        </a:xfrm>
      </xdr:grpSpPr>
      <xdr:pic>
        <xdr:nvPicPr>
          <xdr:cNvPr id="25" name="1 Imagen" descr="ESCUDO-transp-lema-blanco.png">
            <a:extLst>
              <a:ext uri="{FF2B5EF4-FFF2-40B4-BE49-F238E27FC236}">
                <a16:creationId xmlns:a16="http://schemas.microsoft.com/office/drawing/2014/main" id="{E1794577-EFAE-4C8A-941A-726C326AEDC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6" name="3 CuadroTexto">
            <a:extLst>
              <a:ext uri="{FF2B5EF4-FFF2-40B4-BE49-F238E27FC236}">
                <a16:creationId xmlns:a16="http://schemas.microsoft.com/office/drawing/2014/main" id="{22235BA7-CE38-407A-A315-A4554890964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7" name="1 Grupo">
          <a:extLst>
            <a:ext uri="{FF2B5EF4-FFF2-40B4-BE49-F238E27FC236}">
              <a16:creationId xmlns:a16="http://schemas.microsoft.com/office/drawing/2014/main" id="{5E179E13-BA53-46FD-9D21-A64977E0CEEE}"/>
            </a:ext>
          </a:extLst>
        </xdr:cNvPr>
        <xdr:cNvGrpSpPr>
          <a:grpSpLocks/>
        </xdr:cNvGrpSpPr>
      </xdr:nvGrpSpPr>
      <xdr:grpSpPr bwMode="auto">
        <a:xfrm>
          <a:off x="0" y="0"/>
          <a:ext cx="5756722" cy="1279847"/>
          <a:chOff x="57150" y="47625"/>
          <a:chExt cx="6316603" cy="1200288"/>
        </a:xfrm>
      </xdr:grpSpPr>
      <xdr:pic>
        <xdr:nvPicPr>
          <xdr:cNvPr id="28" name="1 Imagen" descr="ESCUDO-transp-lema-blanco.png">
            <a:extLst>
              <a:ext uri="{FF2B5EF4-FFF2-40B4-BE49-F238E27FC236}">
                <a16:creationId xmlns:a16="http://schemas.microsoft.com/office/drawing/2014/main" id="{A0E8CCF0-DD3D-49C2-B650-0AF3A70CA31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9" name="3 CuadroTexto">
            <a:extLst>
              <a:ext uri="{FF2B5EF4-FFF2-40B4-BE49-F238E27FC236}">
                <a16:creationId xmlns:a16="http://schemas.microsoft.com/office/drawing/2014/main" id="{E22C7133-67B2-4421-A7A2-731F9B6ABDC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3</xdr:col>
      <xdr:colOff>2916</xdr:colOff>
      <xdr:row>163</xdr:row>
      <xdr:rowOff>53340</xdr:rowOff>
    </xdr:from>
    <xdr:to>
      <xdr:col>3</xdr:col>
      <xdr:colOff>4939</xdr:colOff>
      <xdr:row>164</xdr:row>
      <xdr:rowOff>160045</xdr:rowOff>
    </xdr:to>
    <xdr:pic>
      <xdr:nvPicPr>
        <xdr:cNvPr id="31" name="Imagen 30">
          <a:extLst>
            <a:ext uri="{FF2B5EF4-FFF2-40B4-BE49-F238E27FC236}">
              <a16:creationId xmlns:a16="http://schemas.microsoft.com/office/drawing/2014/main" id="{8797501B-E80C-47FC-B245-FB3377508BD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9276" y="52273200"/>
          <a:ext cx="2023" cy="44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2" name="1 Grupo">
          <a:extLst>
            <a:ext uri="{FF2B5EF4-FFF2-40B4-BE49-F238E27FC236}">
              <a16:creationId xmlns:a16="http://schemas.microsoft.com/office/drawing/2014/main" id="{B50AA66E-637A-40C2-97BD-A3B359A2072C}"/>
            </a:ext>
          </a:extLst>
        </xdr:cNvPr>
        <xdr:cNvGrpSpPr>
          <a:grpSpLocks/>
        </xdr:cNvGrpSpPr>
      </xdr:nvGrpSpPr>
      <xdr:grpSpPr bwMode="auto">
        <a:xfrm>
          <a:off x="0" y="0"/>
          <a:ext cx="5756722" cy="1279847"/>
          <a:chOff x="57150" y="47625"/>
          <a:chExt cx="6316603" cy="1200288"/>
        </a:xfrm>
      </xdr:grpSpPr>
      <xdr:pic>
        <xdr:nvPicPr>
          <xdr:cNvPr id="33" name="1 Imagen" descr="ESCUDO-transp-lema-blanco.png">
            <a:extLst>
              <a:ext uri="{FF2B5EF4-FFF2-40B4-BE49-F238E27FC236}">
                <a16:creationId xmlns:a16="http://schemas.microsoft.com/office/drawing/2014/main" id="{063E280B-3336-E439-04BC-2AB57AD26F3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4" name="3 CuadroTexto">
            <a:extLst>
              <a:ext uri="{FF2B5EF4-FFF2-40B4-BE49-F238E27FC236}">
                <a16:creationId xmlns:a16="http://schemas.microsoft.com/office/drawing/2014/main" id="{7B7DB890-8504-41C3-B841-D047D179EF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4F372B29-78F3-44E2-A867-DE68F1FEE822}"/>
            </a:ext>
          </a:extLst>
        </xdr:cNvPr>
        <xdr:cNvGrpSpPr>
          <a:grpSpLocks/>
        </xdr:cNvGrpSpPr>
      </xdr:nvGrpSpPr>
      <xdr:grpSpPr bwMode="auto">
        <a:xfrm>
          <a:off x="0" y="0"/>
          <a:ext cx="5756722" cy="1279847"/>
          <a:chOff x="57150" y="47625"/>
          <a:chExt cx="6316603" cy="1200288"/>
        </a:xfrm>
      </xdr:grpSpPr>
      <xdr:pic>
        <xdr:nvPicPr>
          <xdr:cNvPr id="36" name="1 Imagen" descr="ESCUDO-transp-lema-blanco.png">
            <a:extLst>
              <a:ext uri="{FF2B5EF4-FFF2-40B4-BE49-F238E27FC236}">
                <a16:creationId xmlns:a16="http://schemas.microsoft.com/office/drawing/2014/main" id="{E13AA825-2EC4-D967-0C9D-5381F436619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6A6D5CC6-9806-9003-5588-51D2ACA57B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8" name="1 Grupo">
          <a:extLst>
            <a:ext uri="{FF2B5EF4-FFF2-40B4-BE49-F238E27FC236}">
              <a16:creationId xmlns:a16="http://schemas.microsoft.com/office/drawing/2014/main" id="{9DDC6028-E948-4ABF-96BE-25CD7813F57C}"/>
            </a:ext>
          </a:extLst>
        </xdr:cNvPr>
        <xdr:cNvGrpSpPr>
          <a:grpSpLocks/>
        </xdr:cNvGrpSpPr>
      </xdr:nvGrpSpPr>
      <xdr:grpSpPr bwMode="auto">
        <a:xfrm>
          <a:off x="0" y="0"/>
          <a:ext cx="5756722" cy="1279847"/>
          <a:chOff x="57150" y="47625"/>
          <a:chExt cx="6316603" cy="1200288"/>
        </a:xfrm>
      </xdr:grpSpPr>
      <xdr:pic>
        <xdr:nvPicPr>
          <xdr:cNvPr id="39" name="1 Imagen" descr="ESCUDO-transp-lema-blanco.png">
            <a:extLst>
              <a:ext uri="{FF2B5EF4-FFF2-40B4-BE49-F238E27FC236}">
                <a16:creationId xmlns:a16="http://schemas.microsoft.com/office/drawing/2014/main" id="{CEB2D107-9B72-FBC6-0CC0-964BDF62618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0" name="3 CuadroTexto">
            <a:extLst>
              <a:ext uri="{FF2B5EF4-FFF2-40B4-BE49-F238E27FC236}">
                <a16:creationId xmlns:a16="http://schemas.microsoft.com/office/drawing/2014/main" id="{4E5280C9-4B9C-6090-9496-73974DC90D7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1" name="1 Grupo">
          <a:extLst>
            <a:ext uri="{FF2B5EF4-FFF2-40B4-BE49-F238E27FC236}">
              <a16:creationId xmlns:a16="http://schemas.microsoft.com/office/drawing/2014/main" id="{557B09CF-3A9B-423D-8BAE-BE9FF883AD31}"/>
            </a:ext>
          </a:extLst>
        </xdr:cNvPr>
        <xdr:cNvGrpSpPr>
          <a:grpSpLocks/>
        </xdr:cNvGrpSpPr>
      </xdr:nvGrpSpPr>
      <xdr:grpSpPr bwMode="auto">
        <a:xfrm>
          <a:off x="0" y="0"/>
          <a:ext cx="5756722" cy="1279847"/>
          <a:chOff x="57150" y="47625"/>
          <a:chExt cx="6316603" cy="1200288"/>
        </a:xfrm>
      </xdr:grpSpPr>
      <xdr:pic>
        <xdr:nvPicPr>
          <xdr:cNvPr id="42" name="1 Imagen" descr="ESCUDO-transp-lema-blanco.png">
            <a:extLst>
              <a:ext uri="{FF2B5EF4-FFF2-40B4-BE49-F238E27FC236}">
                <a16:creationId xmlns:a16="http://schemas.microsoft.com/office/drawing/2014/main" id="{2C6E5103-50EA-A7A0-80CD-BADF47633E6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3" name="3 CuadroTexto">
            <a:extLst>
              <a:ext uri="{FF2B5EF4-FFF2-40B4-BE49-F238E27FC236}">
                <a16:creationId xmlns:a16="http://schemas.microsoft.com/office/drawing/2014/main" id="{57B33150-756C-0F4F-5FA5-110DB499614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3</xdr:col>
      <xdr:colOff>2916</xdr:colOff>
      <xdr:row>163</xdr:row>
      <xdr:rowOff>53340</xdr:rowOff>
    </xdr:from>
    <xdr:to>
      <xdr:col>3</xdr:col>
      <xdr:colOff>4939</xdr:colOff>
      <xdr:row>164</xdr:row>
      <xdr:rowOff>160045</xdr:rowOff>
    </xdr:to>
    <xdr:pic>
      <xdr:nvPicPr>
        <xdr:cNvPr id="45" name="Imagen 44">
          <a:extLst>
            <a:ext uri="{FF2B5EF4-FFF2-40B4-BE49-F238E27FC236}">
              <a16:creationId xmlns:a16="http://schemas.microsoft.com/office/drawing/2014/main" id="{17F678D5-598C-48F8-9E18-532F979492F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9276" y="52273200"/>
          <a:ext cx="2023" cy="44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6" name="1 Grupo">
          <a:extLst>
            <a:ext uri="{FF2B5EF4-FFF2-40B4-BE49-F238E27FC236}">
              <a16:creationId xmlns:a16="http://schemas.microsoft.com/office/drawing/2014/main" id="{9C7AA589-7F02-412A-9B87-84F26155E852}"/>
            </a:ext>
          </a:extLst>
        </xdr:cNvPr>
        <xdr:cNvGrpSpPr>
          <a:grpSpLocks/>
        </xdr:cNvGrpSpPr>
      </xdr:nvGrpSpPr>
      <xdr:grpSpPr bwMode="auto">
        <a:xfrm>
          <a:off x="0" y="0"/>
          <a:ext cx="5756722" cy="1279847"/>
          <a:chOff x="57150" y="47625"/>
          <a:chExt cx="6316603" cy="1200288"/>
        </a:xfrm>
      </xdr:grpSpPr>
      <xdr:pic>
        <xdr:nvPicPr>
          <xdr:cNvPr id="47" name="1 Imagen" descr="ESCUDO-transp-lema-blanco.png">
            <a:extLst>
              <a:ext uri="{FF2B5EF4-FFF2-40B4-BE49-F238E27FC236}">
                <a16:creationId xmlns:a16="http://schemas.microsoft.com/office/drawing/2014/main" id="{650EADA2-AD8E-680A-1437-21C0A27E9A2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8" name="3 CuadroTexto">
            <a:extLst>
              <a:ext uri="{FF2B5EF4-FFF2-40B4-BE49-F238E27FC236}">
                <a16:creationId xmlns:a16="http://schemas.microsoft.com/office/drawing/2014/main" id="{42FC67E2-6941-1567-4932-FF4DC74C72C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9" name="1 Grupo">
          <a:extLst>
            <a:ext uri="{FF2B5EF4-FFF2-40B4-BE49-F238E27FC236}">
              <a16:creationId xmlns:a16="http://schemas.microsoft.com/office/drawing/2014/main" id="{3BE14666-A47C-4F88-B3A1-B08D7944A4DB}"/>
            </a:ext>
          </a:extLst>
        </xdr:cNvPr>
        <xdr:cNvGrpSpPr>
          <a:grpSpLocks/>
        </xdr:cNvGrpSpPr>
      </xdr:nvGrpSpPr>
      <xdr:grpSpPr bwMode="auto">
        <a:xfrm>
          <a:off x="0" y="0"/>
          <a:ext cx="5756722" cy="1279847"/>
          <a:chOff x="57150" y="47625"/>
          <a:chExt cx="6316603" cy="1200288"/>
        </a:xfrm>
      </xdr:grpSpPr>
      <xdr:pic>
        <xdr:nvPicPr>
          <xdr:cNvPr id="50" name="1 Imagen" descr="ESCUDO-transp-lema-blanco.png">
            <a:extLst>
              <a:ext uri="{FF2B5EF4-FFF2-40B4-BE49-F238E27FC236}">
                <a16:creationId xmlns:a16="http://schemas.microsoft.com/office/drawing/2014/main" id="{D7D2C098-1023-FC59-4DDE-8B742FB1AEE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1" name="3 CuadroTexto">
            <a:extLst>
              <a:ext uri="{FF2B5EF4-FFF2-40B4-BE49-F238E27FC236}">
                <a16:creationId xmlns:a16="http://schemas.microsoft.com/office/drawing/2014/main" id="{2FE4B6FB-B2E3-B6BE-D492-1CDCB20A6AC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2" name="1 Grupo">
          <a:extLst>
            <a:ext uri="{FF2B5EF4-FFF2-40B4-BE49-F238E27FC236}">
              <a16:creationId xmlns:a16="http://schemas.microsoft.com/office/drawing/2014/main" id="{57640E47-4D7F-48AE-9D61-6C565398AEF2}"/>
            </a:ext>
          </a:extLst>
        </xdr:cNvPr>
        <xdr:cNvGrpSpPr>
          <a:grpSpLocks/>
        </xdr:cNvGrpSpPr>
      </xdr:nvGrpSpPr>
      <xdr:grpSpPr bwMode="auto">
        <a:xfrm>
          <a:off x="0" y="0"/>
          <a:ext cx="5756722" cy="1279847"/>
          <a:chOff x="57150" y="47625"/>
          <a:chExt cx="6316603" cy="1200288"/>
        </a:xfrm>
      </xdr:grpSpPr>
      <xdr:pic>
        <xdr:nvPicPr>
          <xdr:cNvPr id="53" name="1 Imagen" descr="ESCUDO-transp-lema-blanco.png">
            <a:extLst>
              <a:ext uri="{FF2B5EF4-FFF2-40B4-BE49-F238E27FC236}">
                <a16:creationId xmlns:a16="http://schemas.microsoft.com/office/drawing/2014/main" id="{95473D21-47CE-B027-3A9A-D5F075B89D2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4" name="3 CuadroTexto">
            <a:extLst>
              <a:ext uri="{FF2B5EF4-FFF2-40B4-BE49-F238E27FC236}">
                <a16:creationId xmlns:a16="http://schemas.microsoft.com/office/drawing/2014/main" id="{19071543-669E-224C-D131-0F188A5B2EE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5" name="1 Grupo">
          <a:extLst>
            <a:ext uri="{FF2B5EF4-FFF2-40B4-BE49-F238E27FC236}">
              <a16:creationId xmlns:a16="http://schemas.microsoft.com/office/drawing/2014/main" id="{AE6C5326-1186-4EFA-9670-71611C2599BF}"/>
            </a:ext>
          </a:extLst>
        </xdr:cNvPr>
        <xdr:cNvGrpSpPr>
          <a:grpSpLocks/>
        </xdr:cNvGrpSpPr>
      </xdr:nvGrpSpPr>
      <xdr:grpSpPr bwMode="auto">
        <a:xfrm>
          <a:off x="0" y="0"/>
          <a:ext cx="5756722" cy="1279847"/>
          <a:chOff x="57150" y="47625"/>
          <a:chExt cx="6316603" cy="1200288"/>
        </a:xfrm>
      </xdr:grpSpPr>
      <xdr:pic>
        <xdr:nvPicPr>
          <xdr:cNvPr id="56" name="1 Imagen" descr="ESCUDO-transp-lema-blanco.png">
            <a:extLst>
              <a:ext uri="{FF2B5EF4-FFF2-40B4-BE49-F238E27FC236}">
                <a16:creationId xmlns:a16="http://schemas.microsoft.com/office/drawing/2014/main" id="{4E95FF56-D6E9-90C0-8912-AB6A9CB9645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7" name="3 CuadroTexto">
            <a:extLst>
              <a:ext uri="{FF2B5EF4-FFF2-40B4-BE49-F238E27FC236}">
                <a16:creationId xmlns:a16="http://schemas.microsoft.com/office/drawing/2014/main" id="{9AEFE5CB-52A0-718A-AF56-74353E520D5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F00-000003000000}"/>
            </a:ext>
          </a:extLst>
        </xdr:cNvPr>
        <xdr:cNvGrpSpPr>
          <a:grpSpLocks/>
        </xdr:cNvGrpSpPr>
      </xdr:nvGrpSpPr>
      <xdr:grpSpPr bwMode="auto">
        <a:xfrm>
          <a:off x="0" y="0"/>
          <a:ext cx="5860213"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A2327E91-1BD2-48CB-948A-611A1A2557D4}"/>
            </a:ext>
          </a:extLst>
        </xdr:cNvPr>
        <xdr:cNvGrpSpPr>
          <a:grpSpLocks/>
        </xdr:cNvGrpSpPr>
      </xdr:nvGrpSpPr>
      <xdr:grpSpPr bwMode="auto">
        <a:xfrm>
          <a:off x="0" y="0"/>
          <a:ext cx="5860213" cy="1282630"/>
          <a:chOff x="57150" y="47625"/>
          <a:chExt cx="6316603" cy="1200288"/>
        </a:xfrm>
      </xdr:grpSpPr>
      <xdr:pic>
        <xdr:nvPicPr>
          <xdr:cNvPr id="7" name="1 Imagen" descr="ESCUDO-transp-lema-blanco.png">
            <a:extLst>
              <a:ext uri="{FF2B5EF4-FFF2-40B4-BE49-F238E27FC236}">
                <a16:creationId xmlns:a16="http://schemas.microsoft.com/office/drawing/2014/main" id="{EB1DBD94-8B6D-418A-BC42-06BCB9004DE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AD7990DF-5991-490B-B75C-C0DCF374394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ACF32462-8B71-4B7B-AE5E-1A082E4CD6B9}"/>
            </a:ext>
          </a:extLst>
        </xdr:cNvPr>
        <xdr:cNvGrpSpPr>
          <a:grpSpLocks/>
        </xdr:cNvGrpSpPr>
      </xdr:nvGrpSpPr>
      <xdr:grpSpPr bwMode="auto">
        <a:xfrm>
          <a:off x="0" y="0"/>
          <a:ext cx="5860213" cy="1282630"/>
          <a:chOff x="57150" y="47625"/>
          <a:chExt cx="6316603" cy="1200288"/>
        </a:xfrm>
      </xdr:grpSpPr>
      <xdr:pic>
        <xdr:nvPicPr>
          <xdr:cNvPr id="10" name="1 Imagen" descr="ESCUDO-transp-lema-blanco.png">
            <a:extLst>
              <a:ext uri="{FF2B5EF4-FFF2-40B4-BE49-F238E27FC236}">
                <a16:creationId xmlns:a16="http://schemas.microsoft.com/office/drawing/2014/main" id="{66EDC22A-2F47-486D-881E-9299556D3EF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5E1B1DC-2B16-4468-87C6-41D764AE366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BCC9893E-4330-49D5-917F-D5CEC842255F}"/>
            </a:ext>
          </a:extLst>
        </xdr:cNvPr>
        <xdr:cNvGrpSpPr>
          <a:grpSpLocks/>
        </xdr:cNvGrpSpPr>
      </xdr:nvGrpSpPr>
      <xdr:grpSpPr bwMode="auto">
        <a:xfrm>
          <a:off x="0" y="0"/>
          <a:ext cx="5860213" cy="1282630"/>
          <a:chOff x="57150" y="47625"/>
          <a:chExt cx="6316603" cy="1200288"/>
        </a:xfrm>
      </xdr:grpSpPr>
      <xdr:pic>
        <xdr:nvPicPr>
          <xdr:cNvPr id="13" name="1 Imagen" descr="ESCUDO-transp-lema-blanco.png">
            <a:extLst>
              <a:ext uri="{FF2B5EF4-FFF2-40B4-BE49-F238E27FC236}">
                <a16:creationId xmlns:a16="http://schemas.microsoft.com/office/drawing/2014/main" id="{0CA9F06C-0147-46E7-9D7C-06DBE4091D3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FFC18882-BBDA-40BC-B335-2AEB03B8923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F8A5E518-144D-47A9-AA39-56573B4BA6DC}"/>
            </a:ext>
          </a:extLst>
        </xdr:cNvPr>
        <xdr:cNvGrpSpPr>
          <a:grpSpLocks/>
        </xdr:cNvGrpSpPr>
      </xdr:nvGrpSpPr>
      <xdr:grpSpPr bwMode="auto">
        <a:xfrm>
          <a:off x="0" y="0"/>
          <a:ext cx="5860213" cy="1282630"/>
          <a:chOff x="57150" y="47625"/>
          <a:chExt cx="6316603" cy="1200288"/>
        </a:xfrm>
      </xdr:grpSpPr>
      <xdr:pic>
        <xdr:nvPicPr>
          <xdr:cNvPr id="16" name="1 Imagen" descr="ESCUDO-transp-lema-blanco.png">
            <a:extLst>
              <a:ext uri="{FF2B5EF4-FFF2-40B4-BE49-F238E27FC236}">
                <a16:creationId xmlns:a16="http://schemas.microsoft.com/office/drawing/2014/main" id="{0B597294-DF5C-4692-AE6A-2CCFE7DEC1D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4F6354E1-D076-491A-8B92-D163C729AAE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18" name="Imagen 17">
          <a:extLst>
            <a:ext uri="{FF2B5EF4-FFF2-40B4-BE49-F238E27FC236}">
              <a16:creationId xmlns:a16="http://schemas.microsoft.com/office/drawing/2014/main" id="{80A117CF-2801-4B05-AE2F-C57F474223D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1" y="19185255"/>
          <a:ext cx="129" cy="5707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ADF3F22D-AB49-4B8B-994E-40FFF5CB71B0}"/>
            </a:ext>
          </a:extLst>
        </xdr:cNvPr>
        <xdr:cNvGrpSpPr>
          <a:grpSpLocks/>
        </xdr:cNvGrpSpPr>
      </xdr:nvGrpSpPr>
      <xdr:grpSpPr bwMode="auto">
        <a:xfrm>
          <a:off x="0" y="0"/>
          <a:ext cx="5860213" cy="1282630"/>
          <a:chOff x="57150" y="47625"/>
          <a:chExt cx="6316603" cy="1200288"/>
        </a:xfrm>
      </xdr:grpSpPr>
      <xdr:pic>
        <xdr:nvPicPr>
          <xdr:cNvPr id="20" name="1 Imagen" descr="ESCUDO-transp-lema-blanco.png">
            <a:extLst>
              <a:ext uri="{FF2B5EF4-FFF2-40B4-BE49-F238E27FC236}">
                <a16:creationId xmlns:a16="http://schemas.microsoft.com/office/drawing/2014/main" id="{F5988ED8-9D22-4EDE-881F-B4CC0F60866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D2422D0E-1608-4285-8EE2-89E08C8F0AC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2" name="1 Grupo">
          <a:extLst>
            <a:ext uri="{FF2B5EF4-FFF2-40B4-BE49-F238E27FC236}">
              <a16:creationId xmlns:a16="http://schemas.microsoft.com/office/drawing/2014/main" id="{5CA1F162-08DE-4D21-8615-6CC556BE07C3}"/>
            </a:ext>
          </a:extLst>
        </xdr:cNvPr>
        <xdr:cNvGrpSpPr>
          <a:grpSpLocks/>
        </xdr:cNvGrpSpPr>
      </xdr:nvGrpSpPr>
      <xdr:grpSpPr bwMode="auto">
        <a:xfrm>
          <a:off x="0" y="0"/>
          <a:ext cx="5860213" cy="1282630"/>
          <a:chOff x="57150" y="47625"/>
          <a:chExt cx="6316603" cy="1200288"/>
        </a:xfrm>
      </xdr:grpSpPr>
      <xdr:pic>
        <xdr:nvPicPr>
          <xdr:cNvPr id="23" name="1 Imagen" descr="ESCUDO-transp-lema-blanco.png">
            <a:extLst>
              <a:ext uri="{FF2B5EF4-FFF2-40B4-BE49-F238E27FC236}">
                <a16:creationId xmlns:a16="http://schemas.microsoft.com/office/drawing/2014/main" id="{20E6F1E4-68B2-4AEA-A4E2-9FD25C0ED9A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4" name="3 CuadroTexto">
            <a:extLst>
              <a:ext uri="{FF2B5EF4-FFF2-40B4-BE49-F238E27FC236}">
                <a16:creationId xmlns:a16="http://schemas.microsoft.com/office/drawing/2014/main" id="{86AF80B3-2F80-4A0E-A36D-49A9B32C552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32ECF275-F888-4B8F-9ADC-5D62D61F378C}"/>
            </a:ext>
          </a:extLst>
        </xdr:cNvPr>
        <xdr:cNvGrpSpPr>
          <a:grpSpLocks/>
        </xdr:cNvGrpSpPr>
      </xdr:nvGrpSpPr>
      <xdr:grpSpPr bwMode="auto">
        <a:xfrm>
          <a:off x="0" y="0"/>
          <a:ext cx="5860213" cy="1282630"/>
          <a:chOff x="57150" y="47625"/>
          <a:chExt cx="6316603" cy="1200288"/>
        </a:xfrm>
      </xdr:grpSpPr>
      <xdr:pic>
        <xdr:nvPicPr>
          <xdr:cNvPr id="26" name="1 Imagen" descr="ESCUDO-transp-lema-blanco.png">
            <a:extLst>
              <a:ext uri="{FF2B5EF4-FFF2-40B4-BE49-F238E27FC236}">
                <a16:creationId xmlns:a16="http://schemas.microsoft.com/office/drawing/2014/main" id="{0E82105B-DA35-4F19-923E-8420DDACD93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9D79400A-A845-43F6-AF55-C88DC69402F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8" name="1 Grupo">
          <a:extLst>
            <a:ext uri="{FF2B5EF4-FFF2-40B4-BE49-F238E27FC236}">
              <a16:creationId xmlns:a16="http://schemas.microsoft.com/office/drawing/2014/main" id="{89251A71-50D0-413A-900E-659B00DC5226}"/>
            </a:ext>
          </a:extLst>
        </xdr:cNvPr>
        <xdr:cNvGrpSpPr>
          <a:grpSpLocks/>
        </xdr:cNvGrpSpPr>
      </xdr:nvGrpSpPr>
      <xdr:grpSpPr bwMode="auto">
        <a:xfrm>
          <a:off x="0" y="0"/>
          <a:ext cx="5860213" cy="1282630"/>
          <a:chOff x="57150" y="47625"/>
          <a:chExt cx="6316603" cy="1200288"/>
        </a:xfrm>
      </xdr:grpSpPr>
      <xdr:pic>
        <xdr:nvPicPr>
          <xdr:cNvPr id="29" name="1 Imagen" descr="ESCUDO-transp-lema-blanco.png">
            <a:extLst>
              <a:ext uri="{FF2B5EF4-FFF2-40B4-BE49-F238E27FC236}">
                <a16:creationId xmlns:a16="http://schemas.microsoft.com/office/drawing/2014/main" id="{B2C0D06D-D809-4829-A950-9F391022FDE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0" name="3 CuadroTexto">
            <a:extLst>
              <a:ext uri="{FF2B5EF4-FFF2-40B4-BE49-F238E27FC236}">
                <a16:creationId xmlns:a16="http://schemas.microsoft.com/office/drawing/2014/main" id="{C9C06302-898B-4159-8F22-B10FD0B568C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1" name="1 Grupo">
          <a:extLst>
            <a:ext uri="{FF2B5EF4-FFF2-40B4-BE49-F238E27FC236}">
              <a16:creationId xmlns:a16="http://schemas.microsoft.com/office/drawing/2014/main" id="{9B8FA14A-2859-4A08-9BE2-DEEEF061541F}"/>
            </a:ext>
          </a:extLst>
        </xdr:cNvPr>
        <xdr:cNvGrpSpPr>
          <a:grpSpLocks/>
        </xdr:cNvGrpSpPr>
      </xdr:nvGrpSpPr>
      <xdr:grpSpPr bwMode="auto">
        <a:xfrm>
          <a:off x="0" y="0"/>
          <a:ext cx="5860213" cy="1282630"/>
          <a:chOff x="57150" y="47625"/>
          <a:chExt cx="6316603" cy="1200288"/>
        </a:xfrm>
      </xdr:grpSpPr>
      <xdr:pic>
        <xdr:nvPicPr>
          <xdr:cNvPr id="32" name="1 Imagen" descr="ESCUDO-transp-lema-blanco.png">
            <a:extLst>
              <a:ext uri="{FF2B5EF4-FFF2-40B4-BE49-F238E27FC236}">
                <a16:creationId xmlns:a16="http://schemas.microsoft.com/office/drawing/2014/main" id="{D1EC9675-5A0E-4C89-B6FC-87AF8DFF560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3" name="3 CuadroTexto">
            <a:extLst>
              <a:ext uri="{FF2B5EF4-FFF2-40B4-BE49-F238E27FC236}">
                <a16:creationId xmlns:a16="http://schemas.microsoft.com/office/drawing/2014/main" id="{31B97C8B-E151-4E00-A0FD-2854629147F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34" name="Imagen 33">
          <a:extLst>
            <a:ext uri="{FF2B5EF4-FFF2-40B4-BE49-F238E27FC236}">
              <a16:creationId xmlns:a16="http://schemas.microsoft.com/office/drawing/2014/main" id="{CEEFDE7D-CFF4-4E53-9315-3CAF768320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1" y="17556480"/>
          <a:ext cx="129" cy="4640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F2B5F9E3-BCA2-47C5-BA6E-D69CB8726107}"/>
            </a:ext>
          </a:extLst>
        </xdr:cNvPr>
        <xdr:cNvGrpSpPr>
          <a:grpSpLocks/>
        </xdr:cNvGrpSpPr>
      </xdr:nvGrpSpPr>
      <xdr:grpSpPr bwMode="auto">
        <a:xfrm>
          <a:off x="0" y="0"/>
          <a:ext cx="5860213" cy="1282630"/>
          <a:chOff x="57150" y="47625"/>
          <a:chExt cx="6316603" cy="1200288"/>
        </a:xfrm>
      </xdr:grpSpPr>
      <xdr:pic>
        <xdr:nvPicPr>
          <xdr:cNvPr id="36" name="1 Imagen" descr="ESCUDO-transp-lema-blanco.png">
            <a:extLst>
              <a:ext uri="{FF2B5EF4-FFF2-40B4-BE49-F238E27FC236}">
                <a16:creationId xmlns:a16="http://schemas.microsoft.com/office/drawing/2014/main" id="{E6D692B8-F442-5113-FBB9-E9D0C2A9092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3CD23AE9-2297-BCA3-3E7F-A8595FA38A9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8" name="1 Grupo">
          <a:extLst>
            <a:ext uri="{FF2B5EF4-FFF2-40B4-BE49-F238E27FC236}">
              <a16:creationId xmlns:a16="http://schemas.microsoft.com/office/drawing/2014/main" id="{37E803CE-26F9-4C17-BF99-0EDCDAE965E8}"/>
            </a:ext>
          </a:extLst>
        </xdr:cNvPr>
        <xdr:cNvGrpSpPr>
          <a:grpSpLocks/>
        </xdr:cNvGrpSpPr>
      </xdr:nvGrpSpPr>
      <xdr:grpSpPr bwMode="auto">
        <a:xfrm>
          <a:off x="0" y="0"/>
          <a:ext cx="5860213" cy="1282630"/>
          <a:chOff x="57150" y="47625"/>
          <a:chExt cx="6316603" cy="1200288"/>
        </a:xfrm>
      </xdr:grpSpPr>
      <xdr:pic>
        <xdr:nvPicPr>
          <xdr:cNvPr id="39" name="1 Imagen" descr="ESCUDO-transp-lema-blanco.png">
            <a:extLst>
              <a:ext uri="{FF2B5EF4-FFF2-40B4-BE49-F238E27FC236}">
                <a16:creationId xmlns:a16="http://schemas.microsoft.com/office/drawing/2014/main" id="{68EBBBD2-C144-711C-CD59-DCA35A8D4B9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0" name="3 CuadroTexto">
            <a:extLst>
              <a:ext uri="{FF2B5EF4-FFF2-40B4-BE49-F238E27FC236}">
                <a16:creationId xmlns:a16="http://schemas.microsoft.com/office/drawing/2014/main" id="{AC218961-EA57-C6BC-C398-C04FEF3B74A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1" name="1 Grupo">
          <a:extLst>
            <a:ext uri="{FF2B5EF4-FFF2-40B4-BE49-F238E27FC236}">
              <a16:creationId xmlns:a16="http://schemas.microsoft.com/office/drawing/2014/main" id="{AC282486-C9EF-466E-9AF2-1AEB00AA73F0}"/>
            </a:ext>
          </a:extLst>
        </xdr:cNvPr>
        <xdr:cNvGrpSpPr>
          <a:grpSpLocks/>
        </xdr:cNvGrpSpPr>
      </xdr:nvGrpSpPr>
      <xdr:grpSpPr bwMode="auto">
        <a:xfrm>
          <a:off x="0" y="0"/>
          <a:ext cx="5860213" cy="1282630"/>
          <a:chOff x="57150" y="47625"/>
          <a:chExt cx="6316603" cy="1200288"/>
        </a:xfrm>
      </xdr:grpSpPr>
      <xdr:pic>
        <xdr:nvPicPr>
          <xdr:cNvPr id="42" name="1 Imagen" descr="ESCUDO-transp-lema-blanco.png">
            <a:extLst>
              <a:ext uri="{FF2B5EF4-FFF2-40B4-BE49-F238E27FC236}">
                <a16:creationId xmlns:a16="http://schemas.microsoft.com/office/drawing/2014/main" id="{F6D83A0A-D0DC-620C-0099-E1D1E347F0B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3" name="3 CuadroTexto">
            <a:extLst>
              <a:ext uri="{FF2B5EF4-FFF2-40B4-BE49-F238E27FC236}">
                <a16:creationId xmlns:a16="http://schemas.microsoft.com/office/drawing/2014/main" id="{FF4C2DB6-108B-4DC4-BE68-F6B5D864916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4" name="1 Grupo">
          <a:extLst>
            <a:ext uri="{FF2B5EF4-FFF2-40B4-BE49-F238E27FC236}">
              <a16:creationId xmlns:a16="http://schemas.microsoft.com/office/drawing/2014/main" id="{9C2AAAF1-B4B6-42DD-8D42-D17B654BD315}"/>
            </a:ext>
          </a:extLst>
        </xdr:cNvPr>
        <xdr:cNvGrpSpPr>
          <a:grpSpLocks/>
        </xdr:cNvGrpSpPr>
      </xdr:nvGrpSpPr>
      <xdr:grpSpPr bwMode="auto">
        <a:xfrm>
          <a:off x="0" y="0"/>
          <a:ext cx="5860213" cy="1282630"/>
          <a:chOff x="57150" y="47625"/>
          <a:chExt cx="6316603" cy="1200288"/>
        </a:xfrm>
      </xdr:grpSpPr>
      <xdr:pic>
        <xdr:nvPicPr>
          <xdr:cNvPr id="45" name="1 Imagen" descr="ESCUDO-transp-lema-blanco.png">
            <a:extLst>
              <a:ext uri="{FF2B5EF4-FFF2-40B4-BE49-F238E27FC236}">
                <a16:creationId xmlns:a16="http://schemas.microsoft.com/office/drawing/2014/main" id="{5EE2E998-1630-58A0-ED30-3D95A5D33BE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6" name="3 CuadroTexto">
            <a:extLst>
              <a:ext uri="{FF2B5EF4-FFF2-40B4-BE49-F238E27FC236}">
                <a16:creationId xmlns:a16="http://schemas.microsoft.com/office/drawing/2014/main" id="{1D501FAA-F0E4-853F-A059-8DF98CEA22B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7" name="1 Grupo">
          <a:extLst>
            <a:ext uri="{FF2B5EF4-FFF2-40B4-BE49-F238E27FC236}">
              <a16:creationId xmlns:a16="http://schemas.microsoft.com/office/drawing/2014/main" id="{A6A063A2-7801-48F5-A77F-A6EB1E61127A}"/>
            </a:ext>
          </a:extLst>
        </xdr:cNvPr>
        <xdr:cNvGrpSpPr>
          <a:grpSpLocks/>
        </xdr:cNvGrpSpPr>
      </xdr:nvGrpSpPr>
      <xdr:grpSpPr bwMode="auto">
        <a:xfrm>
          <a:off x="0" y="0"/>
          <a:ext cx="5860213" cy="1282630"/>
          <a:chOff x="57150" y="47625"/>
          <a:chExt cx="6316603" cy="1200288"/>
        </a:xfrm>
      </xdr:grpSpPr>
      <xdr:pic>
        <xdr:nvPicPr>
          <xdr:cNvPr id="48" name="1 Imagen" descr="ESCUDO-transp-lema-blanco.png">
            <a:extLst>
              <a:ext uri="{FF2B5EF4-FFF2-40B4-BE49-F238E27FC236}">
                <a16:creationId xmlns:a16="http://schemas.microsoft.com/office/drawing/2014/main" id="{A8BDA77C-E1F9-6FA0-F652-D1C4255668C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9" name="3 CuadroTexto">
            <a:extLst>
              <a:ext uri="{FF2B5EF4-FFF2-40B4-BE49-F238E27FC236}">
                <a16:creationId xmlns:a16="http://schemas.microsoft.com/office/drawing/2014/main" id="{DCAF11A2-64D0-9EB9-3CA9-AB768B7D6FF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50" name="Imagen 49">
          <a:extLst>
            <a:ext uri="{FF2B5EF4-FFF2-40B4-BE49-F238E27FC236}">
              <a16:creationId xmlns:a16="http://schemas.microsoft.com/office/drawing/2014/main" id="{68F46CF9-1DA5-4BFE-AB6B-C6DDAD98E2C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1" y="17556480"/>
          <a:ext cx="129" cy="4640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1" name="1 Grupo">
          <a:extLst>
            <a:ext uri="{FF2B5EF4-FFF2-40B4-BE49-F238E27FC236}">
              <a16:creationId xmlns:a16="http://schemas.microsoft.com/office/drawing/2014/main" id="{08E91AE6-A2D3-47F1-8B7E-58637334AE10}"/>
            </a:ext>
          </a:extLst>
        </xdr:cNvPr>
        <xdr:cNvGrpSpPr>
          <a:grpSpLocks/>
        </xdr:cNvGrpSpPr>
      </xdr:nvGrpSpPr>
      <xdr:grpSpPr bwMode="auto">
        <a:xfrm>
          <a:off x="0" y="0"/>
          <a:ext cx="5860213" cy="1282630"/>
          <a:chOff x="57150" y="47625"/>
          <a:chExt cx="6316603" cy="1200288"/>
        </a:xfrm>
      </xdr:grpSpPr>
      <xdr:pic>
        <xdr:nvPicPr>
          <xdr:cNvPr id="52" name="1 Imagen" descr="ESCUDO-transp-lema-blanco.png">
            <a:extLst>
              <a:ext uri="{FF2B5EF4-FFF2-40B4-BE49-F238E27FC236}">
                <a16:creationId xmlns:a16="http://schemas.microsoft.com/office/drawing/2014/main" id="{B2303AD1-F6B0-2CDE-3D6C-5C406AD7570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3" name="3 CuadroTexto">
            <a:extLst>
              <a:ext uri="{FF2B5EF4-FFF2-40B4-BE49-F238E27FC236}">
                <a16:creationId xmlns:a16="http://schemas.microsoft.com/office/drawing/2014/main" id="{FF58D176-AC85-623D-6E29-AD0961F225F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4" name="1 Grupo">
          <a:extLst>
            <a:ext uri="{FF2B5EF4-FFF2-40B4-BE49-F238E27FC236}">
              <a16:creationId xmlns:a16="http://schemas.microsoft.com/office/drawing/2014/main" id="{92DC2153-8618-4880-909C-9CBC7F09D154}"/>
            </a:ext>
          </a:extLst>
        </xdr:cNvPr>
        <xdr:cNvGrpSpPr>
          <a:grpSpLocks/>
        </xdr:cNvGrpSpPr>
      </xdr:nvGrpSpPr>
      <xdr:grpSpPr bwMode="auto">
        <a:xfrm>
          <a:off x="0" y="0"/>
          <a:ext cx="5860213" cy="1282630"/>
          <a:chOff x="57150" y="47625"/>
          <a:chExt cx="6316603" cy="1200288"/>
        </a:xfrm>
      </xdr:grpSpPr>
      <xdr:pic>
        <xdr:nvPicPr>
          <xdr:cNvPr id="55" name="1 Imagen" descr="ESCUDO-transp-lema-blanco.png">
            <a:extLst>
              <a:ext uri="{FF2B5EF4-FFF2-40B4-BE49-F238E27FC236}">
                <a16:creationId xmlns:a16="http://schemas.microsoft.com/office/drawing/2014/main" id="{A17A26B9-D8A4-2EE9-BF6F-1B237B72862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6" name="3 CuadroTexto">
            <a:extLst>
              <a:ext uri="{FF2B5EF4-FFF2-40B4-BE49-F238E27FC236}">
                <a16:creationId xmlns:a16="http://schemas.microsoft.com/office/drawing/2014/main" id="{50CCC5BC-F12A-C983-6537-24342208730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7" name="1 Grupo">
          <a:extLst>
            <a:ext uri="{FF2B5EF4-FFF2-40B4-BE49-F238E27FC236}">
              <a16:creationId xmlns:a16="http://schemas.microsoft.com/office/drawing/2014/main" id="{C94668CA-162A-405F-9817-AF7AC2DB2525}"/>
            </a:ext>
          </a:extLst>
        </xdr:cNvPr>
        <xdr:cNvGrpSpPr>
          <a:grpSpLocks/>
        </xdr:cNvGrpSpPr>
      </xdr:nvGrpSpPr>
      <xdr:grpSpPr bwMode="auto">
        <a:xfrm>
          <a:off x="0" y="0"/>
          <a:ext cx="5860213" cy="1282630"/>
          <a:chOff x="57150" y="47625"/>
          <a:chExt cx="6316603" cy="1200288"/>
        </a:xfrm>
      </xdr:grpSpPr>
      <xdr:pic>
        <xdr:nvPicPr>
          <xdr:cNvPr id="58" name="1 Imagen" descr="ESCUDO-transp-lema-blanco.png">
            <a:extLst>
              <a:ext uri="{FF2B5EF4-FFF2-40B4-BE49-F238E27FC236}">
                <a16:creationId xmlns:a16="http://schemas.microsoft.com/office/drawing/2014/main" id="{721184D4-77B1-3CC5-A3D7-F8A4C15B58D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9" name="3 CuadroTexto">
            <a:extLst>
              <a:ext uri="{FF2B5EF4-FFF2-40B4-BE49-F238E27FC236}">
                <a16:creationId xmlns:a16="http://schemas.microsoft.com/office/drawing/2014/main" id="{AA8CD51C-279D-EAB6-04E5-04759573084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0" name="1 Grupo">
          <a:extLst>
            <a:ext uri="{FF2B5EF4-FFF2-40B4-BE49-F238E27FC236}">
              <a16:creationId xmlns:a16="http://schemas.microsoft.com/office/drawing/2014/main" id="{9AEE7BD0-19C8-4BFC-B58B-6AABEBFCF20F}"/>
            </a:ext>
          </a:extLst>
        </xdr:cNvPr>
        <xdr:cNvGrpSpPr>
          <a:grpSpLocks/>
        </xdr:cNvGrpSpPr>
      </xdr:nvGrpSpPr>
      <xdr:grpSpPr bwMode="auto">
        <a:xfrm>
          <a:off x="0" y="0"/>
          <a:ext cx="5860213" cy="1282630"/>
          <a:chOff x="57150" y="47625"/>
          <a:chExt cx="6316603" cy="1200288"/>
        </a:xfrm>
      </xdr:grpSpPr>
      <xdr:pic>
        <xdr:nvPicPr>
          <xdr:cNvPr id="61" name="1 Imagen" descr="ESCUDO-transp-lema-blanco.png">
            <a:extLst>
              <a:ext uri="{FF2B5EF4-FFF2-40B4-BE49-F238E27FC236}">
                <a16:creationId xmlns:a16="http://schemas.microsoft.com/office/drawing/2014/main" id="{7685061C-05EF-4D60-FFD7-B0F5209C746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2" name="3 CuadroTexto">
            <a:extLst>
              <a:ext uri="{FF2B5EF4-FFF2-40B4-BE49-F238E27FC236}">
                <a16:creationId xmlns:a16="http://schemas.microsoft.com/office/drawing/2014/main" id="{B8428A24-E01E-8BD3-C10D-DD6063A5302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3" name="1 Grupo">
          <a:extLst>
            <a:ext uri="{FF2B5EF4-FFF2-40B4-BE49-F238E27FC236}">
              <a16:creationId xmlns:a16="http://schemas.microsoft.com/office/drawing/2014/main" id="{12C7F54B-0986-4ADB-8160-04E57E66B8BD}"/>
            </a:ext>
          </a:extLst>
        </xdr:cNvPr>
        <xdr:cNvGrpSpPr>
          <a:grpSpLocks/>
        </xdr:cNvGrpSpPr>
      </xdr:nvGrpSpPr>
      <xdr:grpSpPr bwMode="auto">
        <a:xfrm>
          <a:off x="0" y="0"/>
          <a:ext cx="5860213" cy="1282630"/>
          <a:chOff x="57150" y="47625"/>
          <a:chExt cx="6316603" cy="1200288"/>
        </a:xfrm>
      </xdr:grpSpPr>
      <xdr:pic>
        <xdr:nvPicPr>
          <xdr:cNvPr id="64" name="1 Imagen" descr="ESCUDO-transp-lema-blanco.png">
            <a:extLst>
              <a:ext uri="{FF2B5EF4-FFF2-40B4-BE49-F238E27FC236}">
                <a16:creationId xmlns:a16="http://schemas.microsoft.com/office/drawing/2014/main" id="{90204942-55F9-6953-4089-D038CC4AEDF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5" name="3 CuadroTexto">
            <a:extLst>
              <a:ext uri="{FF2B5EF4-FFF2-40B4-BE49-F238E27FC236}">
                <a16:creationId xmlns:a16="http://schemas.microsoft.com/office/drawing/2014/main" id="{EB75379D-F45C-8714-EC24-98F16143A4F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84339AD4-E33A-470D-880A-1A2C84FD203C}"/>
            </a:ext>
          </a:extLst>
        </xdr:cNvPr>
        <xdr:cNvGrpSpPr>
          <a:grpSpLocks/>
        </xdr:cNvGrpSpPr>
      </xdr:nvGrpSpPr>
      <xdr:grpSpPr bwMode="auto">
        <a:xfrm>
          <a:off x="2" y="0"/>
          <a:ext cx="9944098" cy="1657350"/>
          <a:chOff x="57151" y="47625"/>
          <a:chExt cx="6181724" cy="1581150"/>
        </a:xfrm>
      </xdr:grpSpPr>
      <xdr:pic>
        <xdr:nvPicPr>
          <xdr:cNvPr id="3" name="1 Imagen" descr="ESCUDO-transp-lema-blanco.png">
            <a:extLst>
              <a:ext uri="{FF2B5EF4-FFF2-40B4-BE49-F238E27FC236}">
                <a16:creationId xmlns:a16="http://schemas.microsoft.com/office/drawing/2014/main" id="{FD752F1F-F8BB-4E47-8D3B-F5AB03986149}"/>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853EA85F-550B-4BBE-B493-DE6B1024BD72}"/>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2916</xdr:colOff>
      <xdr:row>73</xdr:row>
      <xdr:rowOff>91440</xdr:rowOff>
    </xdr:from>
    <xdr:to>
      <xdr:col>3</xdr:col>
      <xdr:colOff>4949</xdr:colOff>
      <xdr:row>74</xdr:row>
      <xdr:rowOff>175283</xdr:rowOff>
    </xdr:to>
    <xdr:pic>
      <xdr:nvPicPr>
        <xdr:cNvPr id="2" name="Imagen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37773506"/>
          <a:ext cx="2033" cy="39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000-000003000000}"/>
            </a:ext>
          </a:extLst>
        </xdr:cNvPr>
        <xdr:cNvGrpSpPr>
          <a:grpSpLocks/>
        </xdr:cNvGrpSpPr>
      </xdr:nvGrpSpPr>
      <xdr:grpSpPr bwMode="auto">
        <a:xfrm>
          <a:off x="0" y="0"/>
          <a:ext cx="7974763"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2140B3AC-463E-41D0-93AC-9CB56609E13D}"/>
            </a:ext>
          </a:extLst>
        </xdr:cNvPr>
        <xdr:cNvGrpSpPr>
          <a:grpSpLocks/>
        </xdr:cNvGrpSpPr>
      </xdr:nvGrpSpPr>
      <xdr:grpSpPr bwMode="auto">
        <a:xfrm>
          <a:off x="0" y="0"/>
          <a:ext cx="7974763" cy="1282630"/>
          <a:chOff x="57150" y="47625"/>
          <a:chExt cx="6316603" cy="1200288"/>
        </a:xfrm>
      </xdr:grpSpPr>
      <xdr:pic>
        <xdr:nvPicPr>
          <xdr:cNvPr id="7" name="1 Imagen" descr="ESCUDO-transp-lema-blanco.png">
            <a:extLst>
              <a:ext uri="{FF2B5EF4-FFF2-40B4-BE49-F238E27FC236}">
                <a16:creationId xmlns:a16="http://schemas.microsoft.com/office/drawing/2014/main" id="{B61B7247-1558-4038-B481-BD6E3F8D4B2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DCAA3CFF-EE7A-40BF-A120-3FAFE4647B1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1AB5B3AD-88FD-49DE-95FE-E70FE9F44D1A}"/>
            </a:ext>
          </a:extLst>
        </xdr:cNvPr>
        <xdr:cNvGrpSpPr>
          <a:grpSpLocks/>
        </xdr:cNvGrpSpPr>
      </xdr:nvGrpSpPr>
      <xdr:grpSpPr bwMode="auto">
        <a:xfrm>
          <a:off x="0" y="0"/>
          <a:ext cx="7974763" cy="1282630"/>
          <a:chOff x="57150" y="47625"/>
          <a:chExt cx="6316603" cy="1200288"/>
        </a:xfrm>
      </xdr:grpSpPr>
      <xdr:pic>
        <xdr:nvPicPr>
          <xdr:cNvPr id="10" name="1 Imagen" descr="ESCUDO-transp-lema-blanco.png">
            <a:extLst>
              <a:ext uri="{FF2B5EF4-FFF2-40B4-BE49-F238E27FC236}">
                <a16:creationId xmlns:a16="http://schemas.microsoft.com/office/drawing/2014/main" id="{054E5C3A-D8E7-48D2-90D0-9BB09533224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9B1640F-F50B-4AC0-8DD3-02070C32F8D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D8458BB0-F3AB-4B34-85EB-49155E1E5F74}"/>
            </a:ext>
          </a:extLst>
        </xdr:cNvPr>
        <xdr:cNvGrpSpPr>
          <a:grpSpLocks/>
        </xdr:cNvGrpSpPr>
      </xdr:nvGrpSpPr>
      <xdr:grpSpPr bwMode="auto">
        <a:xfrm>
          <a:off x="0" y="0"/>
          <a:ext cx="7974763" cy="1282630"/>
          <a:chOff x="57150" y="47625"/>
          <a:chExt cx="6316603" cy="1200288"/>
        </a:xfrm>
      </xdr:grpSpPr>
      <xdr:pic>
        <xdr:nvPicPr>
          <xdr:cNvPr id="13" name="1 Imagen" descr="ESCUDO-transp-lema-blanco.png">
            <a:extLst>
              <a:ext uri="{FF2B5EF4-FFF2-40B4-BE49-F238E27FC236}">
                <a16:creationId xmlns:a16="http://schemas.microsoft.com/office/drawing/2014/main" id="{64C588DE-F097-46C6-B533-9ADFC3D3A92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94A56EE1-A8AC-409C-92E9-385F4A871F6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C55AFA8B-9828-40DB-BBF9-2AC598A51853}"/>
            </a:ext>
          </a:extLst>
        </xdr:cNvPr>
        <xdr:cNvGrpSpPr>
          <a:grpSpLocks/>
        </xdr:cNvGrpSpPr>
      </xdr:nvGrpSpPr>
      <xdr:grpSpPr bwMode="auto">
        <a:xfrm>
          <a:off x="0" y="0"/>
          <a:ext cx="7974763" cy="1282630"/>
          <a:chOff x="57150" y="47625"/>
          <a:chExt cx="6316603" cy="1200288"/>
        </a:xfrm>
      </xdr:grpSpPr>
      <xdr:pic>
        <xdr:nvPicPr>
          <xdr:cNvPr id="16" name="1 Imagen" descr="ESCUDO-transp-lema-blanco.png">
            <a:extLst>
              <a:ext uri="{FF2B5EF4-FFF2-40B4-BE49-F238E27FC236}">
                <a16:creationId xmlns:a16="http://schemas.microsoft.com/office/drawing/2014/main" id="{CE7B0601-FA80-4899-B3E6-4CDACD1108D3}"/>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5EF6A621-5FD2-449B-8E1F-9BF2E82A385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BDEFBFAC-4BD3-4E9B-874A-E279EB36D403}"/>
            </a:ext>
          </a:extLst>
        </xdr:cNvPr>
        <xdr:cNvGrpSpPr>
          <a:grpSpLocks/>
        </xdr:cNvGrpSpPr>
      </xdr:nvGrpSpPr>
      <xdr:grpSpPr bwMode="auto">
        <a:xfrm>
          <a:off x="0" y="0"/>
          <a:ext cx="7974763" cy="1282630"/>
          <a:chOff x="57150" y="47625"/>
          <a:chExt cx="6316603" cy="1200288"/>
        </a:xfrm>
      </xdr:grpSpPr>
      <xdr:pic>
        <xdr:nvPicPr>
          <xdr:cNvPr id="19" name="1 Imagen" descr="ESCUDO-transp-lema-blanco.png">
            <a:extLst>
              <a:ext uri="{FF2B5EF4-FFF2-40B4-BE49-F238E27FC236}">
                <a16:creationId xmlns:a16="http://schemas.microsoft.com/office/drawing/2014/main" id="{C4614D29-099E-4C2C-B7F5-070E0508B38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BEC5405C-A2C5-4238-975F-D63C249917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100-000003000000}"/>
            </a:ext>
          </a:extLst>
        </xdr:cNvPr>
        <xdr:cNvGrpSpPr>
          <a:grpSpLocks/>
        </xdr:cNvGrpSpPr>
      </xdr:nvGrpSpPr>
      <xdr:grpSpPr bwMode="auto">
        <a:xfrm>
          <a:off x="0" y="0"/>
          <a:ext cx="6669838"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0B50091B-01F3-4D8C-8028-5AC51D109A73}"/>
            </a:ext>
          </a:extLst>
        </xdr:cNvPr>
        <xdr:cNvGrpSpPr>
          <a:grpSpLocks/>
        </xdr:cNvGrpSpPr>
      </xdr:nvGrpSpPr>
      <xdr:grpSpPr bwMode="auto">
        <a:xfrm>
          <a:off x="0" y="0"/>
          <a:ext cx="6669838" cy="1282630"/>
          <a:chOff x="57150" y="47625"/>
          <a:chExt cx="6316603" cy="1200288"/>
        </a:xfrm>
      </xdr:grpSpPr>
      <xdr:pic>
        <xdr:nvPicPr>
          <xdr:cNvPr id="7" name="1 Imagen" descr="ESCUDO-transp-lema-blanco.png">
            <a:extLst>
              <a:ext uri="{FF2B5EF4-FFF2-40B4-BE49-F238E27FC236}">
                <a16:creationId xmlns:a16="http://schemas.microsoft.com/office/drawing/2014/main" id="{1FCB9CE3-BBC6-44C7-A80D-E40F72AE26E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56CD0BB8-F1AC-40FC-8350-886FE06E8A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0E1EB4ED-2B8E-4606-A9A0-6679587B3769}"/>
            </a:ext>
          </a:extLst>
        </xdr:cNvPr>
        <xdr:cNvGrpSpPr>
          <a:grpSpLocks/>
        </xdr:cNvGrpSpPr>
      </xdr:nvGrpSpPr>
      <xdr:grpSpPr bwMode="auto">
        <a:xfrm>
          <a:off x="0" y="0"/>
          <a:ext cx="6669838" cy="1282630"/>
          <a:chOff x="57150" y="47625"/>
          <a:chExt cx="6316603" cy="1200288"/>
        </a:xfrm>
      </xdr:grpSpPr>
      <xdr:pic>
        <xdr:nvPicPr>
          <xdr:cNvPr id="10" name="1 Imagen" descr="ESCUDO-transp-lema-blanco.png">
            <a:extLst>
              <a:ext uri="{FF2B5EF4-FFF2-40B4-BE49-F238E27FC236}">
                <a16:creationId xmlns:a16="http://schemas.microsoft.com/office/drawing/2014/main" id="{F5069E32-9DE6-4615-91C8-84406CF20CB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BB068D5-4C47-4180-904D-CC464F8E61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51778818-8E0A-4EA8-A96E-5F21795BE68F}"/>
            </a:ext>
          </a:extLst>
        </xdr:cNvPr>
        <xdr:cNvGrpSpPr>
          <a:grpSpLocks/>
        </xdr:cNvGrpSpPr>
      </xdr:nvGrpSpPr>
      <xdr:grpSpPr bwMode="auto">
        <a:xfrm>
          <a:off x="0" y="0"/>
          <a:ext cx="6669838" cy="1282630"/>
          <a:chOff x="57150" y="47625"/>
          <a:chExt cx="6316603" cy="1200288"/>
        </a:xfrm>
      </xdr:grpSpPr>
      <xdr:pic>
        <xdr:nvPicPr>
          <xdr:cNvPr id="13" name="1 Imagen" descr="ESCUDO-transp-lema-blanco.png">
            <a:extLst>
              <a:ext uri="{FF2B5EF4-FFF2-40B4-BE49-F238E27FC236}">
                <a16:creationId xmlns:a16="http://schemas.microsoft.com/office/drawing/2014/main" id="{0DFA0CB7-32B6-43EC-83E7-155E713B959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75922990-9C95-42DD-9153-687A6170EA7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BE276BA4-B223-4A9F-92F9-A0468175794B}"/>
            </a:ext>
          </a:extLst>
        </xdr:cNvPr>
        <xdr:cNvGrpSpPr>
          <a:grpSpLocks/>
        </xdr:cNvGrpSpPr>
      </xdr:nvGrpSpPr>
      <xdr:grpSpPr bwMode="auto">
        <a:xfrm>
          <a:off x="0" y="0"/>
          <a:ext cx="6669838" cy="1282630"/>
          <a:chOff x="57150" y="47625"/>
          <a:chExt cx="6316603" cy="1200288"/>
        </a:xfrm>
      </xdr:grpSpPr>
      <xdr:pic>
        <xdr:nvPicPr>
          <xdr:cNvPr id="16" name="1 Imagen" descr="ESCUDO-transp-lema-blanco.png">
            <a:extLst>
              <a:ext uri="{FF2B5EF4-FFF2-40B4-BE49-F238E27FC236}">
                <a16:creationId xmlns:a16="http://schemas.microsoft.com/office/drawing/2014/main" id="{028D6D52-8470-4508-A53E-760A221F7E2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C8C98393-9D75-40F6-B7A2-4D2571E00A4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8A61D2C2-73C8-4E28-8899-E215330D3622}"/>
            </a:ext>
          </a:extLst>
        </xdr:cNvPr>
        <xdr:cNvGrpSpPr>
          <a:grpSpLocks/>
        </xdr:cNvGrpSpPr>
      </xdr:nvGrpSpPr>
      <xdr:grpSpPr bwMode="auto">
        <a:xfrm>
          <a:off x="0" y="0"/>
          <a:ext cx="6669838" cy="1282630"/>
          <a:chOff x="57150" y="47625"/>
          <a:chExt cx="6316603" cy="1200288"/>
        </a:xfrm>
      </xdr:grpSpPr>
      <xdr:pic>
        <xdr:nvPicPr>
          <xdr:cNvPr id="19" name="1 Imagen" descr="ESCUDO-transp-lema-blanco.png">
            <a:extLst>
              <a:ext uri="{FF2B5EF4-FFF2-40B4-BE49-F238E27FC236}">
                <a16:creationId xmlns:a16="http://schemas.microsoft.com/office/drawing/2014/main" id="{34ABC3F3-3515-497F-A785-983CEAE485B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1AEE6906-4D80-4BD5-8A36-D266A286BF1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1" name="1 Grupo">
          <a:extLst>
            <a:ext uri="{FF2B5EF4-FFF2-40B4-BE49-F238E27FC236}">
              <a16:creationId xmlns:a16="http://schemas.microsoft.com/office/drawing/2014/main" id="{80B8A0CA-14C4-484D-9C50-79D2EFB0E4D2}"/>
            </a:ext>
          </a:extLst>
        </xdr:cNvPr>
        <xdr:cNvGrpSpPr>
          <a:grpSpLocks/>
        </xdr:cNvGrpSpPr>
      </xdr:nvGrpSpPr>
      <xdr:grpSpPr bwMode="auto">
        <a:xfrm>
          <a:off x="0" y="0"/>
          <a:ext cx="6669838" cy="1282630"/>
          <a:chOff x="57150" y="47625"/>
          <a:chExt cx="6316603" cy="1200288"/>
        </a:xfrm>
      </xdr:grpSpPr>
      <xdr:pic>
        <xdr:nvPicPr>
          <xdr:cNvPr id="22" name="1 Imagen" descr="ESCUDO-transp-lema-blanco.png">
            <a:extLst>
              <a:ext uri="{FF2B5EF4-FFF2-40B4-BE49-F238E27FC236}">
                <a16:creationId xmlns:a16="http://schemas.microsoft.com/office/drawing/2014/main" id="{1833E18E-603E-4112-92F5-5458876C900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3" name="3 CuadroTexto">
            <a:extLst>
              <a:ext uri="{FF2B5EF4-FFF2-40B4-BE49-F238E27FC236}">
                <a16:creationId xmlns:a16="http://schemas.microsoft.com/office/drawing/2014/main" id="{CCAE6076-15FB-40EF-AEF8-DD4BEB0EBC2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137161</xdr:colOff>
      <xdr:row>121</xdr:row>
      <xdr:rowOff>7620</xdr:rowOff>
    </xdr:from>
    <xdr:to>
      <xdr:col>2</xdr:col>
      <xdr:colOff>2222936</xdr:colOff>
      <xdr:row>121</xdr:row>
      <xdr:rowOff>103640</xdr:rowOff>
    </xdr:to>
    <xdr:pic>
      <xdr:nvPicPr>
        <xdr:cNvPr id="24" name="Imagen 23">
          <a:extLst>
            <a:ext uri="{FF2B5EF4-FFF2-40B4-BE49-F238E27FC236}">
              <a16:creationId xmlns:a16="http://schemas.microsoft.com/office/drawing/2014/main" id="{7276015E-41EA-4674-90B8-4226833F460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0601" y="32880300"/>
          <a:ext cx="20363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C1DFDB15-D436-4AB8-A347-71A7931589A1}"/>
            </a:ext>
          </a:extLst>
        </xdr:cNvPr>
        <xdr:cNvGrpSpPr>
          <a:grpSpLocks/>
        </xdr:cNvGrpSpPr>
      </xdr:nvGrpSpPr>
      <xdr:grpSpPr bwMode="auto">
        <a:xfrm>
          <a:off x="0" y="0"/>
          <a:ext cx="6669838" cy="1282630"/>
          <a:chOff x="57150" y="47625"/>
          <a:chExt cx="6316603" cy="1200288"/>
        </a:xfrm>
      </xdr:grpSpPr>
      <xdr:pic>
        <xdr:nvPicPr>
          <xdr:cNvPr id="26" name="1 Imagen" descr="ESCUDO-transp-lema-blanco.png">
            <a:extLst>
              <a:ext uri="{FF2B5EF4-FFF2-40B4-BE49-F238E27FC236}">
                <a16:creationId xmlns:a16="http://schemas.microsoft.com/office/drawing/2014/main" id="{40461640-8DD9-33A5-6972-6E828E3A8EE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0443F881-0195-D672-C3C5-2DC563EF814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8" name="1 Grupo">
          <a:extLst>
            <a:ext uri="{FF2B5EF4-FFF2-40B4-BE49-F238E27FC236}">
              <a16:creationId xmlns:a16="http://schemas.microsoft.com/office/drawing/2014/main" id="{4209B6D5-E7EB-48F4-9BA1-3D7058B031F5}"/>
            </a:ext>
          </a:extLst>
        </xdr:cNvPr>
        <xdr:cNvGrpSpPr>
          <a:grpSpLocks/>
        </xdr:cNvGrpSpPr>
      </xdr:nvGrpSpPr>
      <xdr:grpSpPr bwMode="auto">
        <a:xfrm>
          <a:off x="0" y="0"/>
          <a:ext cx="6669838" cy="1282630"/>
          <a:chOff x="57150" y="47625"/>
          <a:chExt cx="6316603" cy="1200288"/>
        </a:xfrm>
      </xdr:grpSpPr>
      <xdr:pic>
        <xdr:nvPicPr>
          <xdr:cNvPr id="29" name="1 Imagen" descr="ESCUDO-transp-lema-blanco.png">
            <a:extLst>
              <a:ext uri="{FF2B5EF4-FFF2-40B4-BE49-F238E27FC236}">
                <a16:creationId xmlns:a16="http://schemas.microsoft.com/office/drawing/2014/main" id="{BE5A6024-9575-AEC1-EE9F-16D29049E19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0" name="3 CuadroTexto">
            <a:extLst>
              <a:ext uri="{FF2B5EF4-FFF2-40B4-BE49-F238E27FC236}">
                <a16:creationId xmlns:a16="http://schemas.microsoft.com/office/drawing/2014/main" id="{89977E24-B462-C328-6F30-2598AB22AB7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1" name="1 Grupo">
          <a:extLst>
            <a:ext uri="{FF2B5EF4-FFF2-40B4-BE49-F238E27FC236}">
              <a16:creationId xmlns:a16="http://schemas.microsoft.com/office/drawing/2014/main" id="{60A626F7-81D2-4F22-B1A3-17485710A934}"/>
            </a:ext>
          </a:extLst>
        </xdr:cNvPr>
        <xdr:cNvGrpSpPr>
          <a:grpSpLocks/>
        </xdr:cNvGrpSpPr>
      </xdr:nvGrpSpPr>
      <xdr:grpSpPr bwMode="auto">
        <a:xfrm>
          <a:off x="0" y="0"/>
          <a:ext cx="6669838" cy="1282630"/>
          <a:chOff x="57150" y="47625"/>
          <a:chExt cx="6316603" cy="1200288"/>
        </a:xfrm>
      </xdr:grpSpPr>
      <xdr:pic>
        <xdr:nvPicPr>
          <xdr:cNvPr id="32" name="1 Imagen" descr="ESCUDO-transp-lema-blanco.png">
            <a:extLst>
              <a:ext uri="{FF2B5EF4-FFF2-40B4-BE49-F238E27FC236}">
                <a16:creationId xmlns:a16="http://schemas.microsoft.com/office/drawing/2014/main" id="{D1213640-AF6C-6BE9-7F0D-04FFE0CA310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3" name="3 CuadroTexto">
            <a:extLst>
              <a:ext uri="{FF2B5EF4-FFF2-40B4-BE49-F238E27FC236}">
                <a16:creationId xmlns:a16="http://schemas.microsoft.com/office/drawing/2014/main" id="{CF695F42-E3D0-90DE-6282-95C67750487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4" name="1 Grupo">
          <a:extLst>
            <a:ext uri="{FF2B5EF4-FFF2-40B4-BE49-F238E27FC236}">
              <a16:creationId xmlns:a16="http://schemas.microsoft.com/office/drawing/2014/main" id="{D717C3F5-6A83-4EAA-BB16-CCDC96F8E04D}"/>
            </a:ext>
          </a:extLst>
        </xdr:cNvPr>
        <xdr:cNvGrpSpPr>
          <a:grpSpLocks/>
        </xdr:cNvGrpSpPr>
      </xdr:nvGrpSpPr>
      <xdr:grpSpPr bwMode="auto">
        <a:xfrm>
          <a:off x="0" y="0"/>
          <a:ext cx="6669838" cy="1282630"/>
          <a:chOff x="57150" y="47625"/>
          <a:chExt cx="6316603" cy="1200288"/>
        </a:xfrm>
      </xdr:grpSpPr>
      <xdr:pic>
        <xdr:nvPicPr>
          <xdr:cNvPr id="35" name="1 Imagen" descr="ESCUDO-transp-lema-blanco.png">
            <a:extLst>
              <a:ext uri="{FF2B5EF4-FFF2-40B4-BE49-F238E27FC236}">
                <a16:creationId xmlns:a16="http://schemas.microsoft.com/office/drawing/2014/main" id="{BCF17378-F017-C944-5495-BB680ECF207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6" name="3 CuadroTexto">
            <a:extLst>
              <a:ext uri="{FF2B5EF4-FFF2-40B4-BE49-F238E27FC236}">
                <a16:creationId xmlns:a16="http://schemas.microsoft.com/office/drawing/2014/main" id="{E1437A28-71B2-BE3A-82EF-214826C0BFD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7" name="1 Grupo">
          <a:extLst>
            <a:ext uri="{FF2B5EF4-FFF2-40B4-BE49-F238E27FC236}">
              <a16:creationId xmlns:a16="http://schemas.microsoft.com/office/drawing/2014/main" id="{9D7F0A2A-5643-45FA-8508-C5AD6F5A3BEB}"/>
            </a:ext>
          </a:extLst>
        </xdr:cNvPr>
        <xdr:cNvGrpSpPr>
          <a:grpSpLocks/>
        </xdr:cNvGrpSpPr>
      </xdr:nvGrpSpPr>
      <xdr:grpSpPr bwMode="auto">
        <a:xfrm>
          <a:off x="0" y="0"/>
          <a:ext cx="6669838" cy="1282630"/>
          <a:chOff x="57150" y="47625"/>
          <a:chExt cx="6316603" cy="1200288"/>
        </a:xfrm>
      </xdr:grpSpPr>
      <xdr:pic>
        <xdr:nvPicPr>
          <xdr:cNvPr id="38" name="1 Imagen" descr="ESCUDO-transp-lema-blanco.png">
            <a:extLst>
              <a:ext uri="{FF2B5EF4-FFF2-40B4-BE49-F238E27FC236}">
                <a16:creationId xmlns:a16="http://schemas.microsoft.com/office/drawing/2014/main" id="{9BB9AA7B-7432-146A-A136-B3A8AE1C6C8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9" name="3 CuadroTexto">
            <a:extLst>
              <a:ext uri="{FF2B5EF4-FFF2-40B4-BE49-F238E27FC236}">
                <a16:creationId xmlns:a16="http://schemas.microsoft.com/office/drawing/2014/main" id="{7B458F6F-B2C8-7CE8-E474-A546C353BD4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0" name="1 Grupo">
          <a:extLst>
            <a:ext uri="{FF2B5EF4-FFF2-40B4-BE49-F238E27FC236}">
              <a16:creationId xmlns:a16="http://schemas.microsoft.com/office/drawing/2014/main" id="{69B74EF2-6EEF-48D2-8592-2EEED82EE046}"/>
            </a:ext>
          </a:extLst>
        </xdr:cNvPr>
        <xdr:cNvGrpSpPr>
          <a:grpSpLocks/>
        </xdr:cNvGrpSpPr>
      </xdr:nvGrpSpPr>
      <xdr:grpSpPr bwMode="auto">
        <a:xfrm>
          <a:off x="0" y="0"/>
          <a:ext cx="6669838" cy="1282630"/>
          <a:chOff x="57150" y="47625"/>
          <a:chExt cx="6316603" cy="1200288"/>
        </a:xfrm>
      </xdr:grpSpPr>
      <xdr:pic>
        <xdr:nvPicPr>
          <xdr:cNvPr id="41" name="1 Imagen" descr="ESCUDO-transp-lema-blanco.png">
            <a:extLst>
              <a:ext uri="{FF2B5EF4-FFF2-40B4-BE49-F238E27FC236}">
                <a16:creationId xmlns:a16="http://schemas.microsoft.com/office/drawing/2014/main" id="{4904FEB2-A941-C285-7B4C-F0FF9B40A1E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2" name="3 CuadroTexto">
            <a:extLst>
              <a:ext uri="{FF2B5EF4-FFF2-40B4-BE49-F238E27FC236}">
                <a16:creationId xmlns:a16="http://schemas.microsoft.com/office/drawing/2014/main" id="{392441FF-A753-EE7E-D505-BEC21F77F36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3" name="1 Grupo">
          <a:extLst>
            <a:ext uri="{FF2B5EF4-FFF2-40B4-BE49-F238E27FC236}">
              <a16:creationId xmlns:a16="http://schemas.microsoft.com/office/drawing/2014/main" id="{2FE4500C-051B-4929-B6DA-9EEF82E77D78}"/>
            </a:ext>
          </a:extLst>
        </xdr:cNvPr>
        <xdr:cNvGrpSpPr>
          <a:grpSpLocks/>
        </xdr:cNvGrpSpPr>
      </xdr:nvGrpSpPr>
      <xdr:grpSpPr bwMode="auto">
        <a:xfrm>
          <a:off x="0" y="0"/>
          <a:ext cx="6669838" cy="1282630"/>
          <a:chOff x="57150" y="47625"/>
          <a:chExt cx="6316603" cy="1200288"/>
        </a:xfrm>
      </xdr:grpSpPr>
      <xdr:pic>
        <xdr:nvPicPr>
          <xdr:cNvPr id="44" name="1 Imagen" descr="ESCUDO-transp-lema-blanco.png">
            <a:extLst>
              <a:ext uri="{FF2B5EF4-FFF2-40B4-BE49-F238E27FC236}">
                <a16:creationId xmlns:a16="http://schemas.microsoft.com/office/drawing/2014/main" id="{821A3A9A-5E8E-478E-5F96-1AC035F7CC1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5" name="3 CuadroTexto">
            <a:extLst>
              <a:ext uri="{FF2B5EF4-FFF2-40B4-BE49-F238E27FC236}">
                <a16:creationId xmlns:a16="http://schemas.microsoft.com/office/drawing/2014/main" id="{BD2954A4-6ADE-51E1-B149-096C322432F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a16="http://schemas.microsoft.com/office/drawing/2014/main" id="{00000000-0008-0000-2200-000005000000}"/>
            </a:ext>
          </a:extLst>
        </xdr:cNvPr>
        <xdr:cNvGrpSpPr>
          <a:grpSpLocks/>
        </xdr:cNvGrpSpPr>
      </xdr:nvGrpSpPr>
      <xdr:grpSpPr bwMode="auto">
        <a:xfrm>
          <a:off x="0" y="0"/>
          <a:ext cx="8262155" cy="1287228"/>
          <a:chOff x="57150" y="47625"/>
          <a:chExt cx="6316603" cy="1200288"/>
        </a:xfrm>
      </xdr:grpSpPr>
      <xdr:pic>
        <xdr:nvPicPr>
          <xdr:cNvPr id="6" name="1 Imagen" descr="ESCUDO-transp-lema-blanco.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a16="http://schemas.microsoft.com/office/drawing/2014/main" id="{00000000-0008-0000-2200-000007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8" name="1 Grupo">
          <a:extLst>
            <a:ext uri="{FF2B5EF4-FFF2-40B4-BE49-F238E27FC236}">
              <a16:creationId xmlns:a16="http://schemas.microsoft.com/office/drawing/2014/main" id="{B6B4EA18-716F-4608-B17F-9A2138ABD1BB}"/>
            </a:ext>
          </a:extLst>
        </xdr:cNvPr>
        <xdr:cNvGrpSpPr>
          <a:grpSpLocks/>
        </xdr:cNvGrpSpPr>
      </xdr:nvGrpSpPr>
      <xdr:grpSpPr bwMode="auto">
        <a:xfrm>
          <a:off x="0" y="0"/>
          <a:ext cx="8262155" cy="1287228"/>
          <a:chOff x="57150" y="47625"/>
          <a:chExt cx="6316603" cy="1200288"/>
        </a:xfrm>
      </xdr:grpSpPr>
      <xdr:pic>
        <xdr:nvPicPr>
          <xdr:cNvPr id="9" name="1 Imagen" descr="ESCUDO-transp-lema-blanco.png">
            <a:extLst>
              <a:ext uri="{FF2B5EF4-FFF2-40B4-BE49-F238E27FC236}">
                <a16:creationId xmlns:a16="http://schemas.microsoft.com/office/drawing/2014/main" id="{3E6FA8A0-0BEF-4285-B73F-41DE1B207095}"/>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0" name="3 CuadroTexto">
            <a:extLst>
              <a:ext uri="{FF2B5EF4-FFF2-40B4-BE49-F238E27FC236}">
                <a16:creationId xmlns:a16="http://schemas.microsoft.com/office/drawing/2014/main" id="{A864EFE8-4C60-4702-89D2-6BB290060C4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11" name="Imagen 10">
          <a:extLst>
            <a:ext uri="{FF2B5EF4-FFF2-40B4-BE49-F238E27FC236}">
              <a16:creationId xmlns:a16="http://schemas.microsoft.com/office/drawing/2014/main" id="{2A15C017-4BB7-4A90-AAC0-2D272BE364D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30537150"/>
          <a:ext cx="2750820" cy="381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12" name="Imagen 11">
          <a:extLst>
            <a:ext uri="{FF2B5EF4-FFF2-40B4-BE49-F238E27FC236}">
              <a16:creationId xmlns:a16="http://schemas.microsoft.com/office/drawing/2014/main" id="{287904C3-817D-478D-BD99-9B90CE99A58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39957375"/>
          <a:ext cx="77724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13" name="Imagen 12">
          <a:extLst>
            <a:ext uri="{FF2B5EF4-FFF2-40B4-BE49-F238E27FC236}">
              <a16:creationId xmlns:a16="http://schemas.microsoft.com/office/drawing/2014/main" id="{75814D13-A33E-4837-A695-3FFFDA5411E5}"/>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3558" y="43310175"/>
          <a:ext cx="0" cy="421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4" name="1 Grupo">
          <a:extLst>
            <a:ext uri="{FF2B5EF4-FFF2-40B4-BE49-F238E27FC236}">
              <a16:creationId xmlns:a16="http://schemas.microsoft.com/office/drawing/2014/main" id="{FF7B31AC-88AB-458F-8715-0D9992C41D80}"/>
            </a:ext>
          </a:extLst>
        </xdr:cNvPr>
        <xdr:cNvGrpSpPr>
          <a:grpSpLocks/>
        </xdr:cNvGrpSpPr>
      </xdr:nvGrpSpPr>
      <xdr:grpSpPr bwMode="auto">
        <a:xfrm>
          <a:off x="0" y="0"/>
          <a:ext cx="8262155" cy="1287228"/>
          <a:chOff x="57150" y="47625"/>
          <a:chExt cx="6316603" cy="1200288"/>
        </a:xfrm>
      </xdr:grpSpPr>
      <xdr:pic>
        <xdr:nvPicPr>
          <xdr:cNvPr id="15" name="1 Imagen" descr="ESCUDO-transp-lema-blanco.png">
            <a:extLst>
              <a:ext uri="{FF2B5EF4-FFF2-40B4-BE49-F238E27FC236}">
                <a16:creationId xmlns:a16="http://schemas.microsoft.com/office/drawing/2014/main" id="{69CF4FCE-AE76-47D1-818D-2E195B4E92E1}"/>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6" name="3 CuadroTexto">
            <a:extLst>
              <a:ext uri="{FF2B5EF4-FFF2-40B4-BE49-F238E27FC236}">
                <a16:creationId xmlns:a16="http://schemas.microsoft.com/office/drawing/2014/main" id="{AE8B8B8D-FBF2-46C2-B13B-C62493ADF03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7" name="1 Grupo">
          <a:extLst>
            <a:ext uri="{FF2B5EF4-FFF2-40B4-BE49-F238E27FC236}">
              <a16:creationId xmlns:a16="http://schemas.microsoft.com/office/drawing/2014/main" id="{D0196D34-1330-4F07-A7AB-AB9117E5EE10}"/>
            </a:ext>
          </a:extLst>
        </xdr:cNvPr>
        <xdr:cNvGrpSpPr>
          <a:grpSpLocks/>
        </xdr:cNvGrpSpPr>
      </xdr:nvGrpSpPr>
      <xdr:grpSpPr bwMode="auto">
        <a:xfrm>
          <a:off x="0" y="0"/>
          <a:ext cx="8262155" cy="1287228"/>
          <a:chOff x="57150" y="47625"/>
          <a:chExt cx="6316603" cy="1200288"/>
        </a:xfrm>
      </xdr:grpSpPr>
      <xdr:pic>
        <xdr:nvPicPr>
          <xdr:cNvPr id="18" name="1 Imagen" descr="ESCUDO-transp-lema-blanco.png">
            <a:extLst>
              <a:ext uri="{FF2B5EF4-FFF2-40B4-BE49-F238E27FC236}">
                <a16:creationId xmlns:a16="http://schemas.microsoft.com/office/drawing/2014/main" id="{A18EB8F2-5EC4-4BE0-B52A-5A52F9CD0EB7}"/>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9" name="3 CuadroTexto">
            <a:extLst>
              <a:ext uri="{FF2B5EF4-FFF2-40B4-BE49-F238E27FC236}">
                <a16:creationId xmlns:a16="http://schemas.microsoft.com/office/drawing/2014/main" id="{DDD9F839-99E8-4246-803E-CDEA9953E02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20" name="Imagen 19">
          <a:extLst>
            <a:ext uri="{FF2B5EF4-FFF2-40B4-BE49-F238E27FC236}">
              <a16:creationId xmlns:a16="http://schemas.microsoft.com/office/drawing/2014/main" id="{0505A872-1594-4E22-BFE9-AB5C2A4972B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28536900"/>
          <a:ext cx="2827020" cy="3208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21" name="Imagen 20">
          <a:extLst>
            <a:ext uri="{FF2B5EF4-FFF2-40B4-BE49-F238E27FC236}">
              <a16:creationId xmlns:a16="http://schemas.microsoft.com/office/drawing/2014/main" id="{451FC235-FD70-4A5C-B445-50B03EC942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36743640"/>
          <a:ext cx="7848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22" name="Imagen 21">
          <a:extLst>
            <a:ext uri="{FF2B5EF4-FFF2-40B4-BE49-F238E27FC236}">
              <a16:creationId xmlns:a16="http://schemas.microsoft.com/office/drawing/2014/main" id="{0F9613A5-2A58-4739-9E56-82166930B0DD}"/>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3563" y="39791640"/>
          <a:ext cx="133" cy="43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3" name="1 Grupo">
          <a:extLst>
            <a:ext uri="{FF2B5EF4-FFF2-40B4-BE49-F238E27FC236}">
              <a16:creationId xmlns:a16="http://schemas.microsoft.com/office/drawing/2014/main" id="{06094637-27BF-44B3-A788-FA6480A3CED2}"/>
            </a:ext>
          </a:extLst>
        </xdr:cNvPr>
        <xdr:cNvGrpSpPr>
          <a:grpSpLocks/>
        </xdr:cNvGrpSpPr>
      </xdr:nvGrpSpPr>
      <xdr:grpSpPr bwMode="auto">
        <a:xfrm>
          <a:off x="0" y="0"/>
          <a:ext cx="8262155" cy="1287228"/>
          <a:chOff x="57150" y="47625"/>
          <a:chExt cx="6316603" cy="1200288"/>
        </a:xfrm>
      </xdr:grpSpPr>
      <xdr:pic>
        <xdr:nvPicPr>
          <xdr:cNvPr id="24" name="1 Imagen" descr="ESCUDO-transp-lema-blanco.png">
            <a:extLst>
              <a:ext uri="{FF2B5EF4-FFF2-40B4-BE49-F238E27FC236}">
                <a16:creationId xmlns:a16="http://schemas.microsoft.com/office/drawing/2014/main" id="{1462F84E-40B9-451B-7E83-DB0E8B227FED}"/>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5" name="3 CuadroTexto">
            <a:extLst>
              <a:ext uri="{FF2B5EF4-FFF2-40B4-BE49-F238E27FC236}">
                <a16:creationId xmlns:a16="http://schemas.microsoft.com/office/drawing/2014/main" id="{92F3C5CF-D308-9394-3DF5-7B917E449EB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6" name="1 Grupo">
          <a:extLst>
            <a:ext uri="{FF2B5EF4-FFF2-40B4-BE49-F238E27FC236}">
              <a16:creationId xmlns:a16="http://schemas.microsoft.com/office/drawing/2014/main" id="{00580E2D-FDB2-4F82-AC04-6F67D750DE8F}"/>
            </a:ext>
          </a:extLst>
        </xdr:cNvPr>
        <xdr:cNvGrpSpPr>
          <a:grpSpLocks/>
        </xdr:cNvGrpSpPr>
      </xdr:nvGrpSpPr>
      <xdr:grpSpPr bwMode="auto">
        <a:xfrm>
          <a:off x="0" y="0"/>
          <a:ext cx="8262155" cy="1287228"/>
          <a:chOff x="57150" y="47625"/>
          <a:chExt cx="6316603" cy="1200288"/>
        </a:xfrm>
      </xdr:grpSpPr>
      <xdr:pic>
        <xdr:nvPicPr>
          <xdr:cNvPr id="27" name="1 Imagen" descr="ESCUDO-transp-lema-blanco.png">
            <a:extLst>
              <a:ext uri="{FF2B5EF4-FFF2-40B4-BE49-F238E27FC236}">
                <a16:creationId xmlns:a16="http://schemas.microsoft.com/office/drawing/2014/main" id="{CECC8A44-E8AA-AA62-D305-B01BDCFD5B07}"/>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8" name="3 CuadroTexto">
            <a:extLst>
              <a:ext uri="{FF2B5EF4-FFF2-40B4-BE49-F238E27FC236}">
                <a16:creationId xmlns:a16="http://schemas.microsoft.com/office/drawing/2014/main" id="{7399512E-DD83-596C-E0EA-6480E2577DB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29" name="Imagen 28">
          <a:extLst>
            <a:ext uri="{FF2B5EF4-FFF2-40B4-BE49-F238E27FC236}">
              <a16:creationId xmlns:a16="http://schemas.microsoft.com/office/drawing/2014/main" id="{B88E6F39-3A7C-4D88-BE4A-FB6F1F73F3A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28536900"/>
          <a:ext cx="2827020" cy="3208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0" name="Imagen 29">
          <a:extLst>
            <a:ext uri="{FF2B5EF4-FFF2-40B4-BE49-F238E27FC236}">
              <a16:creationId xmlns:a16="http://schemas.microsoft.com/office/drawing/2014/main" id="{7185058B-844C-4247-8A1B-C08184E975C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36743640"/>
          <a:ext cx="7848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31" name="Imagen 30">
          <a:extLst>
            <a:ext uri="{FF2B5EF4-FFF2-40B4-BE49-F238E27FC236}">
              <a16:creationId xmlns:a16="http://schemas.microsoft.com/office/drawing/2014/main" id="{90E6E70D-79C6-42DD-A674-B0C53C0E0DD9}"/>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3563" y="39791640"/>
          <a:ext cx="133" cy="43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2" name="1 Grupo">
          <a:extLst>
            <a:ext uri="{FF2B5EF4-FFF2-40B4-BE49-F238E27FC236}">
              <a16:creationId xmlns:a16="http://schemas.microsoft.com/office/drawing/2014/main" id="{404CD24C-EE7D-4A5B-B3A7-469BAEC330D8}"/>
            </a:ext>
          </a:extLst>
        </xdr:cNvPr>
        <xdr:cNvGrpSpPr>
          <a:grpSpLocks/>
        </xdr:cNvGrpSpPr>
      </xdr:nvGrpSpPr>
      <xdr:grpSpPr bwMode="auto">
        <a:xfrm>
          <a:off x="0" y="0"/>
          <a:ext cx="8262155" cy="1287228"/>
          <a:chOff x="57150" y="47625"/>
          <a:chExt cx="6316603" cy="1200288"/>
        </a:xfrm>
      </xdr:grpSpPr>
      <xdr:pic>
        <xdr:nvPicPr>
          <xdr:cNvPr id="33" name="1 Imagen" descr="ESCUDO-transp-lema-blanco.png">
            <a:extLst>
              <a:ext uri="{FF2B5EF4-FFF2-40B4-BE49-F238E27FC236}">
                <a16:creationId xmlns:a16="http://schemas.microsoft.com/office/drawing/2014/main" id="{245A8C8F-63F2-7B06-881A-D8155462C94E}"/>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4" name="3 CuadroTexto">
            <a:extLst>
              <a:ext uri="{FF2B5EF4-FFF2-40B4-BE49-F238E27FC236}">
                <a16:creationId xmlns:a16="http://schemas.microsoft.com/office/drawing/2014/main" id="{3B55912B-8E1E-6E82-20AE-D18AFA8A80C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CA7DBF4D-4AFC-432C-AB4B-7C15E0D0D0AC}"/>
            </a:ext>
          </a:extLst>
        </xdr:cNvPr>
        <xdr:cNvGrpSpPr>
          <a:grpSpLocks/>
        </xdr:cNvGrpSpPr>
      </xdr:nvGrpSpPr>
      <xdr:grpSpPr bwMode="auto">
        <a:xfrm>
          <a:off x="0" y="0"/>
          <a:ext cx="8262155" cy="1287228"/>
          <a:chOff x="57150" y="47625"/>
          <a:chExt cx="6316603" cy="1200288"/>
        </a:xfrm>
      </xdr:grpSpPr>
      <xdr:pic>
        <xdr:nvPicPr>
          <xdr:cNvPr id="36" name="1 Imagen" descr="ESCUDO-transp-lema-blanco.png">
            <a:extLst>
              <a:ext uri="{FF2B5EF4-FFF2-40B4-BE49-F238E27FC236}">
                <a16:creationId xmlns:a16="http://schemas.microsoft.com/office/drawing/2014/main" id="{CB372E09-F764-EE37-BAFF-1794AB22D42A}"/>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FD7F4B7C-4EE4-9E2E-24DB-AE9F705CD6C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160021</xdr:colOff>
      <xdr:row>121</xdr:row>
      <xdr:rowOff>45720</xdr:rowOff>
    </xdr:from>
    <xdr:to>
      <xdr:col>3</xdr:col>
      <xdr:colOff>5364</xdr:colOff>
      <xdr:row>121</xdr:row>
      <xdr:rowOff>141740</xdr:rowOff>
    </xdr:to>
    <xdr:pic>
      <xdr:nvPicPr>
        <xdr:cNvPr id="2" name="Imagen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85" y="59351929"/>
          <a:ext cx="3582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4821</xdr:colOff>
      <xdr:row>134</xdr:row>
      <xdr:rowOff>60960</xdr:rowOff>
    </xdr:from>
    <xdr:to>
      <xdr:col>3</xdr:col>
      <xdr:colOff>777466</xdr:colOff>
      <xdr:row>135</xdr:row>
      <xdr:rowOff>175286</xdr:rowOff>
    </xdr:to>
    <xdr:pic>
      <xdr:nvPicPr>
        <xdr:cNvPr id="3" name="Imagen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86469" y="63721455"/>
          <a:ext cx="772645" cy="302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300-000004000000}"/>
            </a:ext>
          </a:extLst>
        </xdr:cNvPr>
        <xdr:cNvGrpSpPr>
          <a:grpSpLocks/>
        </xdr:cNvGrpSpPr>
      </xdr:nvGrpSpPr>
      <xdr:grpSpPr bwMode="auto">
        <a:xfrm>
          <a:off x="0" y="0"/>
          <a:ext cx="6412663" cy="1282630"/>
          <a:chOff x="57150" y="47625"/>
          <a:chExt cx="6316603" cy="1200288"/>
        </a:xfrm>
      </xdr:grpSpPr>
      <xdr:pic>
        <xdr:nvPicPr>
          <xdr:cNvPr id="5" name="1 Imagen" descr="ESCUDO-transp-lema-blanco.pn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958AB1C3-3B3C-425E-A31E-52A66F334CB5}"/>
            </a:ext>
          </a:extLst>
        </xdr:cNvPr>
        <xdr:cNvGrpSpPr>
          <a:grpSpLocks/>
        </xdr:cNvGrpSpPr>
      </xdr:nvGrpSpPr>
      <xdr:grpSpPr bwMode="auto">
        <a:xfrm>
          <a:off x="0" y="0"/>
          <a:ext cx="6412663" cy="1282630"/>
          <a:chOff x="57150" y="47625"/>
          <a:chExt cx="6316603" cy="1200288"/>
        </a:xfrm>
      </xdr:grpSpPr>
      <xdr:pic>
        <xdr:nvPicPr>
          <xdr:cNvPr id="8" name="1 Imagen" descr="ESCUDO-transp-lema-blanco.png">
            <a:extLst>
              <a:ext uri="{FF2B5EF4-FFF2-40B4-BE49-F238E27FC236}">
                <a16:creationId xmlns:a16="http://schemas.microsoft.com/office/drawing/2014/main" id="{1279C031-28D9-4B3F-8CB9-61844F2B78BD}"/>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C306894D-71D3-4FFA-A89B-69458E30F00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C00F6E2E-2E03-425F-A7E6-38BB9ABCF69B}"/>
            </a:ext>
          </a:extLst>
        </xdr:cNvPr>
        <xdr:cNvGrpSpPr>
          <a:grpSpLocks/>
        </xdr:cNvGrpSpPr>
      </xdr:nvGrpSpPr>
      <xdr:grpSpPr bwMode="auto">
        <a:xfrm>
          <a:off x="0" y="0"/>
          <a:ext cx="6412663" cy="1282630"/>
          <a:chOff x="57150" y="47625"/>
          <a:chExt cx="6316603" cy="1200288"/>
        </a:xfrm>
      </xdr:grpSpPr>
      <xdr:pic>
        <xdr:nvPicPr>
          <xdr:cNvPr id="11" name="1 Imagen" descr="ESCUDO-transp-lema-blanco.png">
            <a:extLst>
              <a:ext uri="{FF2B5EF4-FFF2-40B4-BE49-F238E27FC236}">
                <a16:creationId xmlns:a16="http://schemas.microsoft.com/office/drawing/2014/main" id="{C38E1EC9-B300-4FFD-929B-C96DAC65CC12}"/>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81D5390B-F6AC-49D2-941E-679B2E70B0B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872837</xdr:colOff>
      <xdr:row>0</xdr:row>
      <xdr:rowOff>1080392</xdr:rowOff>
    </xdr:to>
    <xdr:pic>
      <xdr:nvPicPr>
        <xdr:cNvPr id="2" name="1 Imagen" descr="ESCUDO-transp-lema-blanco.png">
          <a:extLst>
            <a:ext uri="{FF2B5EF4-FFF2-40B4-BE49-F238E27FC236}">
              <a16:creationId xmlns:a16="http://schemas.microsoft.com/office/drawing/2014/main" id="{9F97D419-E32D-4056-B4E2-4EE95551A0FF}"/>
            </a:ext>
          </a:extLst>
        </xdr:cNvPr>
        <xdr:cNvPicPr>
          <a:picLocks noChangeAspect="1"/>
        </xdr:cNvPicPr>
      </xdr:nvPicPr>
      <xdr:blipFill>
        <a:blip xmlns:r="http://schemas.openxmlformats.org/officeDocument/2006/relationships" r:embed="rId1" cstate="print"/>
        <a:srcRect/>
        <a:stretch>
          <a:fillRect/>
        </a:stretch>
      </xdr:blipFill>
      <xdr:spPr bwMode="auto">
        <a:xfrm>
          <a:off x="1" y="0"/>
          <a:ext cx="872836" cy="1080392"/>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C9F7962A-9E95-4A39-9AAD-E8303E5463F4}"/>
            </a:ext>
          </a:extLst>
        </xdr:cNvPr>
        <xdr:cNvSpPr txBox="1"/>
      </xdr:nvSpPr>
      <xdr:spPr bwMode="auto">
        <a:xfrm>
          <a:off x="1266825" y="428625"/>
          <a:ext cx="491109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1847850</xdr:colOff>
      <xdr:row>0</xdr:row>
      <xdr:rowOff>295275</xdr:rowOff>
    </xdr:from>
    <xdr:ext cx="8601075" cy="914400"/>
    <xdr:sp macro="" textlink="">
      <xdr:nvSpPr>
        <xdr:cNvPr id="2" name="Shape 5">
          <a:extLst>
            <a:ext uri="{FF2B5EF4-FFF2-40B4-BE49-F238E27FC236}">
              <a16:creationId xmlns:a16="http://schemas.microsoft.com/office/drawing/2014/main" id="{9104F622-C047-4C46-AAC5-0157E527BEA2}"/>
            </a:ext>
          </a:extLst>
        </xdr:cNvPr>
        <xdr:cNvSpPr txBox="1"/>
      </xdr:nvSpPr>
      <xdr:spPr>
        <a:xfrm>
          <a:off x="6496050" y="295275"/>
          <a:ext cx="8601075" cy="9144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800" b="1">
              <a:solidFill>
                <a:schemeClr val="accent6"/>
              </a:solidFill>
              <a:latin typeface="Arial Narrow"/>
              <a:ea typeface="Arial Narrow"/>
              <a:cs typeface="Arial Narrow"/>
              <a:sym typeface="Arial Narrow"/>
            </a:rPr>
            <a:t>Ministerio de Ambiente y Desarrollo Sostenible</a:t>
          </a:r>
          <a:endParaRPr sz="1400"/>
        </a:p>
        <a:p>
          <a:pPr marL="0" lvl="0" indent="0" algn="ctr" rtl="0">
            <a:spcBef>
              <a:spcPts val="0"/>
            </a:spcBef>
            <a:spcAft>
              <a:spcPts val="0"/>
            </a:spcAft>
            <a:buNone/>
          </a:pPr>
          <a:r>
            <a:rPr lang="en-US" sz="2000">
              <a:solidFill>
                <a:schemeClr val="accent6"/>
              </a:solidFill>
              <a:latin typeface="Arial Narrow"/>
              <a:ea typeface="Arial Narrow"/>
              <a:cs typeface="Arial Narrow"/>
              <a:sym typeface="Arial Narrow"/>
            </a:rPr>
            <a:t>Dirección de Ordenamiento Ambiental Territorial y Sistema Nacional Ambiental</a:t>
          </a:r>
          <a:endParaRPr sz="1400"/>
        </a:p>
      </xdr:txBody>
    </xdr:sp>
    <xdr:clientData fLocksWithSheet="0"/>
  </xdr:oneCellAnchor>
  <xdr:oneCellAnchor>
    <xdr:from>
      <xdr:col>0</xdr:col>
      <xdr:colOff>38100</xdr:colOff>
      <xdr:row>0</xdr:row>
      <xdr:rowOff>104775</xdr:rowOff>
    </xdr:from>
    <xdr:ext cx="3924300" cy="1200150"/>
    <xdr:pic>
      <xdr:nvPicPr>
        <xdr:cNvPr id="3" name="image2.png">
          <a:extLst>
            <a:ext uri="{FF2B5EF4-FFF2-40B4-BE49-F238E27FC236}">
              <a16:creationId xmlns:a16="http://schemas.microsoft.com/office/drawing/2014/main" id="{09AB2086-D7C5-4F3A-AFBD-9D5C17AB42DC}"/>
            </a:ext>
          </a:extLst>
        </xdr:cNvPr>
        <xdr:cNvPicPr preferRelativeResize="0"/>
      </xdr:nvPicPr>
      <xdr:blipFill>
        <a:blip xmlns:r="http://schemas.openxmlformats.org/officeDocument/2006/relationships" r:embed="rId1" cstate="print"/>
        <a:stretch>
          <a:fillRect/>
        </a:stretch>
      </xdr:blipFill>
      <xdr:spPr>
        <a:xfrm>
          <a:off x="38100" y="104775"/>
          <a:ext cx="3924300" cy="12001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00000000-0008-0000-0800-000002000000}"/>
            </a:ext>
          </a:extLst>
        </xdr:cNvPr>
        <xdr:cNvGrpSpPr>
          <a:grpSpLocks/>
        </xdr:cNvGrpSpPr>
      </xdr:nvGrpSpPr>
      <xdr:grpSpPr bwMode="auto">
        <a:xfrm>
          <a:off x="0" y="0"/>
          <a:ext cx="8151916" cy="1657597"/>
          <a:chOff x="57150" y="47625"/>
          <a:chExt cx="6181725" cy="1581150"/>
        </a:xfrm>
      </xdr:grpSpPr>
      <xdr:pic>
        <xdr:nvPicPr>
          <xdr:cNvPr id="3" name="1 Imagen" descr="ESCUDO-transp-lema-blanco.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800-000004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130</xdr:row>
      <xdr:rowOff>167640</xdr:rowOff>
    </xdr:from>
    <xdr:to>
      <xdr:col>5</xdr:col>
      <xdr:colOff>84107</xdr:colOff>
      <xdr:row>131</xdr:row>
      <xdr:rowOff>121932</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2117" y="38500905"/>
          <a:ext cx="3310944" cy="148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165</xdr:row>
      <xdr:rowOff>38100</xdr:rowOff>
    </xdr:from>
    <xdr:to>
      <xdr:col>3</xdr:col>
      <xdr:colOff>1257378</xdr:colOff>
      <xdr:row>166</xdr:row>
      <xdr:rowOff>68598</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5498" y="45612309"/>
          <a:ext cx="883997" cy="234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173</xdr:row>
      <xdr:rowOff>38100</xdr:rowOff>
    </xdr:from>
    <xdr:to>
      <xdr:col>3</xdr:col>
      <xdr:colOff>1691776</xdr:colOff>
      <xdr:row>173</xdr:row>
      <xdr:rowOff>192431</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9278" y="47332641"/>
          <a:ext cx="1554615" cy="15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65</xdr:row>
      <xdr:rowOff>53340</xdr:rowOff>
    </xdr:from>
    <xdr:to>
      <xdr:col>5</xdr:col>
      <xdr:colOff>312708</xdr:colOff>
      <xdr:row>65</xdr:row>
      <xdr:rowOff>171462</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0718" y="23331274"/>
          <a:ext cx="3310944" cy="118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a16="http://schemas.microsoft.com/office/drawing/2014/main" id="{00000000-0008-0000-0900-000006000000}"/>
            </a:ext>
          </a:extLst>
        </xdr:cNvPr>
        <xdr:cNvGrpSpPr>
          <a:grpSpLocks/>
        </xdr:cNvGrpSpPr>
      </xdr:nvGrpSpPr>
      <xdr:grpSpPr bwMode="auto">
        <a:xfrm>
          <a:off x="0" y="0"/>
          <a:ext cx="7724268" cy="1263580"/>
          <a:chOff x="57150" y="47625"/>
          <a:chExt cx="6316603" cy="1200288"/>
        </a:xfrm>
      </xdr:grpSpPr>
      <xdr:pic>
        <xdr:nvPicPr>
          <xdr:cNvPr id="7" name="1 Imagen" descr="ESCUDO-transp-lema-blanco.png">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0000000-0008-0000-0900-000008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5DAB9065-DE37-4491-A781-DA77E69BF44C}"/>
            </a:ext>
          </a:extLst>
        </xdr:cNvPr>
        <xdr:cNvGrpSpPr>
          <a:grpSpLocks/>
        </xdr:cNvGrpSpPr>
      </xdr:nvGrpSpPr>
      <xdr:grpSpPr bwMode="auto">
        <a:xfrm>
          <a:off x="0" y="0"/>
          <a:ext cx="7724268" cy="1280403"/>
          <a:chOff x="57150" y="47625"/>
          <a:chExt cx="6316603" cy="1200288"/>
        </a:xfrm>
      </xdr:grpSpPr>
      <xdr:pic>
        <xdr:nvPicPr>
          <xdr:cNvPr id="10" name="1 Imagen" descr="ESCUDO-transp-lema-blanco.png">
            <a:extLst>
              <a:ext uri="{FF2B5EF4-FFF2-40B4-BE49-F238E27FC236}">
                <a16:creationId xmlns:a16="http://schemas.microsoft.com/office/drawing/2014/main" id="{1E124E96-CD57-4EF8-BFA8-4A02A260C44E}"/>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8B3775CD-2BDF-4DF8-BD85-DC89B2D9F60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548D9731-8240-4DE4-9B17-399BB8940AC6}"/>
            </a:ext>
          </a:extLst>
        </xdr:cNvPr>
        <xdr:cNvGrpSpPr>
          <a:grpSpLocks/>
        </xdr:cNvGrpSpPr>
      </xdr:nvGrpSpPr>
      <xdr:grpSpPr bwMode="auto">
        <a:xfrm>
          <a:off x="0" y="0"/>
          <a:ext cx="7724268" cy="1280403"/>
          <a:chOff x="57150" y="47625"/>
          <a:chExt cx="6316603" cy="1200288"/>
        </a:xfrm>
      </xdr:grpSpPr>
      <xdr:pic>
        <xdr:nvPicPr>
          <xdr:cNvPr id="13" name="1 Imagen" descr="ESCUDO-transp-lema-blanco.png">
            <a:extLst>
              <a:ext uri="{FF2B5EF4-FFF2-40B4-BE49-F238E27FC236}">
                <a16:creationId xmlns:a16="http://schemas.microsoft.com/office/drawing/2014/main" id="{02CC8373-9F3E-45A0-9E4D-7E22CC321C18}"/>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91A51F2B-5949-45C8-BB8F-6F64260B074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7B28E9BF-F5F0-4B16-A074-086E292D2298}"/>
            </a:ext>
          </a:extLst>
        </xdr:cNvPr>
        <xdr:cNvGrpSpPr>
          <a:grpSpLocks/>
        </xdr:cNvGrpSpPr>
      </xdr:nvGrpSpPr>
      <xdr:grpSpPr bwMode="auto">
        <a:xfrm>
          <a:off x="0" y="0"/>
          <a:ext cx="7724268" cy="1280403"/>
          <a:chOff x="57150" y="47625"/>
          <a:chExt cx="6316603" cy="1200288"/>
        </a:xfrm>
      </xdr:grpSpPr>
      <xdr:pic>
        <xdr:nvPicPr>
          <xdr:cNvPr id="16" name="1 Imagen" descr="ESCUDO-transp-lema-blanco.png">
            <a:extLst>
              <a:ext uri="{FF2B5EF4-FFF2-40B4-BE49-F238E27FC236}">
                <a16:creationId xmlns:a16="http://schemas.microsoft.com/office/drawing/2014/main" id="{13585EDA-F62B-41A1-B1E4-376BA31EAD12}"/>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659EBC4F-5E81-46EF-A02A-30299A10B91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601981</xdr:colOff>
      <xdr:row>68</xdr:row>
      <xdr:rowOff>0</xdr:rowOff>
    </xdr:from>
    <xdr:to>
      <xdr:col>3</xdr:col>
      <xdr:colOff>2065148</xdr:colOff>
      <xdr:row>69</xdr:row>
      <xdr:rowOff>83843</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A00-000003000000}"/>
            </a:ext>
          </a:extLst>
        </xdr:cNvPr>
        <xdr:cNvGrpSpPr>
          <a:grpSpLocks/>
        </xdr:cNvGrpSpPr>
      </xdr:nvGrpSpPr>
      <xdr:grpSpPr bwMode="auto">
        <a:xfrm>
          <a:off x="0" y="0"/>
          <a:ext cx="5164888"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A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FDA10A9C-DA23-495E-8ED0-E214B8256292}"/>
            </a:ext>
          </a:extLst>
        </xdr:cNvPr>
        <xdr:cNvGrpSpPr>
          <a:grpSpLocks/>
        </xdr:cNvGrpSpPr>
      </xdr:nvGrpSpPr>
      <xdr:grpSpPr bwMode="auto">
        <a:xfrm>
          <a:off x="0" y="0"/>
          <a:ext cx="5164888" cy="1282630"/>
          <a:chOff x="57150" y="47625"/>
          <a:chExt cx="6316603" cy="1200288"/>
        </a:xfrm>
      </xdr:grpSpPr>
      <xdr:pic>
        <xdr:nvPicPr>
          <xdr:cNvPr id="7" name="1 Imagen" descr="ESCUDO-transp-lema-blanco.png">
            <a:extLst>
              <a:ext uri="{FF2B5EF4-FFF2-40B4-BE49-F238E27FC236}">
                <a16:creationId xmlns:a16="http://schemas.microsoft.com/office/drawing/2014/main" id="{D0FEBF8F-7E70-4851-ABC2-F53E1B4EBF9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883B276-3AB6-4226-9518-759E032C19A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7EBEE7D8-814F-4131-AE98-27C723344752}"/>
            </a:ext>
          </a:extLst>
        </xdr:cNvPr>
        <xdr:cNvGrpSpPr>
          <a:grpSpLocks/>
        </xdr:cNvGrpSpPr>
      </xdr:nvGrpSpPr>
      <xdr:grpSpPr bwMode="auto">
        <a:xfrm>
          <a:off x="0" y="0"/>
          <a:ext cx="5164888" cy="1282630"/>
          <a:chOff x="57150" y="47625"/>
          <a:chExt cx="6316603" cy="1200288"/>
        </a:xfrm>
      </xdr:grpSpPr>
      <xdr:pic>
        <xdr:nvPicPr>
          <xdr:cNvPr id="10" name="1 Imagen" descr="ESCUDO-transp-lema-blanco.png">
            <a:extLst>
              <a:ext uri="{FF2B5EF4-FFF2-40B4-BE49-F238E27FC236}">
                <a16:creationId xmlns:a16="http://schemas.microsoft.com/office/drawing/2014/main" id="{D6DCADE6-8079-4C6D-9628-27EB17B26D9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9A546005-74D6-4F6C-A49C-A3D0A6AD263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ED5A222D-8963-4D0F-9BAD-D6CDFAC4A88E}"/>
            </a:ext>
          </a:extLst>
        </xdr:cNvPr>
        <xdr:cNvGrpSpPr>
          <a:grpSpLocks/>
        </xdr:cNvGrpSpPr>
      </xdr:nvGrpSpPr>
      <xdr:grpSpPr bwMode="auto">
        <a:xfrm>
          <a:off x="0" y="0"/>
          <a:ext cx="5164888" cy="1282630"/>
          <a:chOff x="57150" y="47625"/>
          <a:chExt cx="6316603" cy="1200288"/>
        </a:xfrm>
      </xdr:grpSpPr>
      <xdr:pic>
        <xdr:nvPicPr>
          <xdr:cNvPr id="13" name="1 Imagen" descr="ESCUDO-transp-lema-blanco.png">
            <a:extLst>
              <a:ext uri="{FF2B5EF4-FFF2-40B4-BE49-F238E27FC236}">
                <a16:creationId xmlns:a16="http://schemas.microsoft.com/office/drawing/2014/main" id="{D72093D8-2304-4B75-9683-B556B0D73E4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33787D3C-59B7-47F1-B64A-CEEF108784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34211</xdr:colOff>
      <xdr:row>66</xdr:row>
      <xdr:rowOff>38684</xdr:rowOff>
    </xdr:from>
    <xdr:to>
      <xdr:col>3</xdr:col>
      <xdr:colOff>2156144</xdr:colOff>
      <xdr:row>67</xdr:row>
      <xdr:rowOff>180976</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62961" y="25251359"/>
          <a:ext cx="2121933" cy="332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B00-000003000000}"/>
            </a:ext>
          </a:extLst>
        </xdr:cNvPr>
        <xdr:cNvGrpSpPr>
          <a:grpSpLocks/>
        </xdr:cNvGrpSpPr>
      </xdr:nvGrpSpPr>
      <xdr:grpSpPr bwMode="auto">
        <a:xfrm>
          <a:off x="0" y="0"/>
          <a:ext cx="5964988" cy="1282630"/>
          <a:chOff x="57150" y="47625"/>
          <a:chExt cx="6316603" cy="1200288"/>
        </a:xfrm>
      </xdr:grpSpPr>
      <xdr:pic>
        <xdr:nvPicPr>
          <xdr:cNvPr id="4" name="1 Imagen" descr="ESCUDO-transp-lema-blanco.pn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4D409143-614F-4484-8491-A572DDC56C49}"/>
            </a:ext>
          </a:extLst>
        </xdr:cNvPr>
        <xdr:cNvGrpSpPr>
          <a:grpSpLocks/>
        </xdr:cNvGrpSpPr>
      </xdr:nvGrpSpPr>
      <xdr:grpSpPr bwMode="auto">
        <a:xfrm>
          <a:off x="0" y="0"/>
          <a:ext cx="5964988" cy="1282630"/>
          <a:chOff x="57150" y="47625"/>
          <a:chExt cx="6316603" cy="1200288"/>
        </a:xfrm>
      </xdr:grpSpPr>
      <xdr:pic>
        <xdr:nvPicPr>
          <xdr:cNvPr id="7" name="1 Imagen" descr="ESCUDO-transp-lema-blanco.png">
            <a:extLst>
              <a:ext uri="{FF2B5EF4-FFF2-40B4-BE49-F238E27FC236}">
                <a16:creationId xmlns:a16="http://schemas.microsoft.com/office/drawing/2014/main" id="{967902F1-B2F6-428B-9580-ABB9A144F8A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66E40C88-47AD-43C5-A2FF-FE6431C16BA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6D654F85-1A7F-42B3-ADA5-3F73D9392FD3}"/>
            </a:ext>
          </a:extLst>
        </xdr:cNvPr>
        <xdr:cNvGrpSpPr>
          <a:grpSpLocks/>
        </xdr:cNvGrpSpPr>
      </xdr:nvGrpSpPr>
      <xdr:grpSpPr bwMode="auto">
        <a:xfrm>
          <a:off x="0" y="0"/>
          <a:ext cx="5964988" cy="1282630"/>
          <a:chOff x="57150" y="47625"/>
          <a:chExt cx="6316603" cy="1200288"/>
        </a:xfrm>
      </xdr:grpSpPr>
      <xdr:pic>
        <xdr:nvPicPr>
          <xdr:cNvPr id="10" name="1 Imagen" descr="ESCUDO-transp-lema-blanco.png">
            <a:extLst>
              <a:ext uri="{FF2B5EF4-FFF2-40B4-BE49-F238E27FC236}">
                <a16:creationId xmlns:a16="http://schemas.microsoft.com/office/drawing/2014/main" id="{F7E8429C-220D-4292-AF1B-76287DD3638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691C352-A14B-4B5C-A327-0AFDB047A0B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12582488-EE5D-45E8-B00E-AA0244F1643D}"/>
            </a:ext>
          </a:extLst>
        </xdr:cNvPr>
        <xdr:cNvGrpSpPr>
          <a:grpSpLocks/>
        </xdr:cNvGrpSpPr>
      </xdr:nvGrpSpPr>
      <xdr:grpSpPr bwMode="auto">
        <a:xfrm>
          <a:off x="0" y="0"/>
          <a:ext cx="5964988" cy="1282630"/>
          <a:chOff x="57150" y="47625"/>
          <a:chExt cx="6316603" cy="1200288"/>
        </a:xfrm>
      </xdr:grpSpPr>
      <xdr:pic>
        <xdr:nvPicPr>
          <xdr:cNvPr id="13" name="1 Imagen" descr="ESCUDO-transp-lema-blanco.png">
            <a:extLst>
              <a:ext uri="{FF2B5EF4-FFF2-40B4-BE49-F238E27FC236}">
                <a16:creationId xmlns:a16="http://schemas.microsoft.com/office/drawing/2014/main" id="{E876490B-737E-46DF-93EC-F6BCD9EDD80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A3E2E62D-1AC2-4664-BED3-4041FC6B92F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Escritorio\CRA\informe%20de%20gestion\2025\II%20SEMESTRE\informe%20de%20gestion\CARdinal\2.Anexo1_Matriz%20avance%20fisico-financiero_2025_II.C.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Protocolo Diligenciamiento"/>
      <sheetName val="Anexo1_Matriz avance fisico-fin"/>
      <sheetName val="Hoja1"/>
    </sheetNames>
    <sheetDataSet>
      <sheetData sheetId="0">
        <row r="5">
          <cell r="C5" t="str">
            <v>Corporación Autónoma Regional del Atlántico – CRA</v>
          </cell>
        </row>
        <row r="6">
          <cell r="C6" t="str">
            <v>2025-II</v>
          </cell>
        </row>
      </sheetData>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Angela Ivette Grijalba Castro" id="{99DFE8E0-0701-ED4C-9251-2931ADE41409}" userId="S::grijalbaa@javeriana.edu.co::a4cdbadc-ca8f-46a2-9b17-47cced92274f"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3" dT="2025-03-20T01:21:15.83" personId="{99DFE8E0-0701-ED4C-9251-2931ADE41409}" id="{50FDC125-4BBD-9945-87D8-DCCC7C44F96B}">
    <text xml:space="preserve">Tiene meta </text>
  </threadedComment>
</ThreadedComments>
</file>

<file path=xl/threadedComments/threadedComment2.xml><?xml version="1.0" encoding="utf-8"?>
<ThreadedComments xmlns="http://schemas.microsoft.com/office/spreadsheetml/2018/threadedcomments" xmlns:x="http://schemas.openxmlformats.org/spreadsheetml/2006/main">
  <threadedComment ref="F53" dT="2025-03-20T01:28:02.04" personId="{99DFE8E0-0701-ED4C-9251-2931ADE41409}" id="{2727695D-6564-8F4C-8FFE-0BE277DD1B8A}">
    <text>90</text>
  </threadedComment>
  <threadedComment ref="F56" dT="2025-03-20T01:27:18.18" personId="{99DFE8E0-0701-ED4C-9251-2931ADE41409}" id="{B7BC26AA-C94A-6048-968D-81F75B8F4CD9}">
    <text>120</text>
  </threadedComment>
</ThreadedComment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mailto:jrestrepo@crautonoma.gov.c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mailto:gescaf@crautonoma.gov.co"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mailto:jrestrepo@crautonoma.gov.co"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mailto:gescaf@crautonoma.gov.co"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gescaf@crautonoma.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mailto:gescaf@crautonoma.gov.co"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mailto:jrestrepo@crautonoma.gov.co"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5.bin"/><Relationship Id="rId1" Type="http://schemas.openxmlformats.org/officeDocument/2006/relationships/hyperlink" Target="mailto:gescaf@crautonoma.gov.c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mailto:jrestrepo@crautonoma.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mailto:jrestrepo@crautonoma.gov.co"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8.bin"/><Relationship Id="rId1" Type="http://schemas.openxmlformats.org/officeDocument/2006/relationships/hyperlink" Target="mailto:jrestrepo@crautonoma.gov.co"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9.bin"/><Relationship Id="rId1" Type="http://schemas.openxmlformats.org/officeDocument/2006/relationships/hyperlink" Target="mailto:gescaf@crautonoma.gov.co"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0.bin"/><Relationship Id="rId1" Type="http://schemas.openxmlformats.org/officeDocument/2006/relationships/hyperlink" Target="mailto:gescaf@crautonoma.gov.co"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1.bin"/><Relationship Id="rId1" Type="http://schemas.openxmlformats.org/officeDocument/2006/relationships/hyperlink" Target="mailto:bcoll@crautonoma.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2.bin"/><Relationship Id="rId1" Type="http://schemas.openxmlformats.org/officeDocument/2006/relationships/hyperlink" Target="mailto:jrestrepo@crautonoma.gov.co"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3.bin"/><Relationship Id="rId1" Type="http://schemas.openxmlformats.org/officeDocument/2006/relationships/hyperlink" Target="mailto:jrestrepo@crautonoma.gov.co" TargetMode="External"/><Relationship Id="rId6" Type="http://schemas.microsoft.com/office/2017/10/relationships/threadedComment" Target="../threadedComments/threadedComment1.xm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jrestrepo@crautonoma.gov.co" TargetMode="External"/><Relationship Id="rId1" Type="http://schemas.openxmlformats.org/officeDocument/2006/relationships/hyperlink" Target="https://www.minambiente.gov.co/index.php/ambientes-y-desarrollos-sostenibles/negocios-verdes-y-sostenibles" TargetMode="External"/><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5.bin"/><Relationship Id="rId1" Type="http://schemas.openxmlformats.org/officeDocument/2006/relationships/hyperlink" Target="mailto:jrestrepo@crautonoma.gov.co" TargetMode="External"/><Relationship Id="rId6" Type="http://schemas.microsoft.com/office/2017/10/relationships/threadedComment" Target="../threadedComments/threadedComment2.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6.bin"/><Relationship Id="rId1" Type="http://schemas.openxmlformats.org/officeDocument/2006/relationships/hyperlink" Target="mailto:bcoll@crautonoma.gov.co"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7.bin"/><Relationship Id="rId1" Type="http://schemas.openxmlformats.org/officeDocument/2006/relationships/hyperlink" Target="mailto:jrestrepo@crautonoma.gov.co"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8.bin"/><Relationship Id="rId1" Type="http://schemas.openxmlformats.org/officeDocument/2006/relationships/hyperlink" Target="mailto:gescaf@crautonoma.gov.co" TargetMode="External"/></Relationships>
</file>

<file path=xl/worksheets/_rels/sheet32.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mailto:jrestrepo@crautonoma.gov.co" TargetMode="External"/><Relationship Id="rId7" Type="http://schemas.openxmlformats.org/officeDocument/2006/relationships/vmlDrawing" Target="../drawings/vmlDrawing10.vm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6" Type="http://schemas.openxmlformats.org/officeDocument/2006/relationships/drawing" Target="../drawings/drawing31.xml"/><Relationship Id="rId5" Type="http://schemas.openxmlformats.org/officeDocument/2006/relationships/printerSettings" Target="../printerSettings/printerSettings29.bin"/><Relationship Id="rId4" Type="http://schemas.openxmlformats.org/officeDocument/2006/relationships/hyperlink" Target="mailto:bcoll@crautonoma.gov.co"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mailto:bcoll@crautonoma.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2.xml"/><Relationship Id="rId4"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1.bin"/><Relationship Id="rId1" Type="http://schemas.openxmlformats.org/officeDocument/2006/relationships/hyperlink" Target="mailto:gescaf@crautonoma.gov.co"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gescaf@crautonoma.gov.c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mailto:gescaf@crautonoma.gov.c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mailto:gescaf@crautonom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B28"/>
  <sheetViews>
    <sheetView workbookViewId="0"/>
  </sheetViews>
  <sheetFormatPr baseColWidth="10" defaultColWidth="11.44140625" defaultRowHeight="13.8"/>
  <cols>
    <col min="1" max="16384" width="11.44140625" style="398"/>
  </cols>
  <sheetData>
    <row r="1" spans="1:2">
      <c r="A1" s="398" t="s">
        <v>0</v>
      </c>
      <c r="B1" s="399" t="s">
        <v>1</v>
      </c>
    </row>
    <row r="2" spans="1:2">
      <c r="A2" s="398" t="s">
        <v>2</v>
      </c>
      <c r="B2" s="399" t="s">
        <v>3</v>
      </c>
    </row>
    <row r="3" spans="1:2">
      <c r="A3" s="398" t="s">
        <v>4</v>
      </c>
      <c r="B3" s="399" t="s">
        <v>5</v>
      </c>
    </row>
    <row r="4" spans="1:2">
      <c r="A4" s="398" t="s">
        <v>6</v>
      </c>
      <c r="B4" s="399" t="s">
        <v>7</v>
      </c>
    </row>
    <row r="5" spans="1:2">
      <c r="A5" s="398" t="s">
        <v>8</v>
      </c>
      <c r="B5" s="399" t="s">
        <v>9</v>
      </c>
    </row>
    <row r="6" spans="1:2">
      <c r="A6" s="398" t="s">
        <v>10</v>
      </c>
      <c r="B6" s="399" t="s">
        <v>11</v>
      </c>
    </row>
    <row r="7" spans="1:2">
      <c r="A7" s="398" t="s">
        <v>12</v>
      </c>
      <c r="B7" s="399" t="s">
        <v>13</v>
      </c>
    </row>
    <row r="8" spans="1:2">
      <c r="A8" s="398" t="s">
        <v>14</v>
      </c>
      <c r="B8" s="399" t="s">
        <v>15</v>
      </c>
    </row>
    <row r="9" spans="1:2">
      <c r="A9" s="398" t="s">
        <v>16</v>
      </c>
      <c r="B9" s="399" t="s">
        <v>17</v>
      </c>
    </row>
    <row r="10" spans="1:2">
      <c r="A10" s="398" t="s">
        <v>18</v>
      </c>
      <c r="B10" s="399" t="s">
        <v>19</v>
      </c>
    </row>
    <row r="11" spans="1:2">
      <c r="B11" s="399" t="s">
        <v>20</v>
      </c>
    </row>
    <row r="12" spans="1:2">
      <c r="B12" s="399" t="s">
        <v>21</v>
      </c>
    </row>
    <row r="13" spans="1:2">
      <c r="B13" s="399" t="s">
        <v>22</v>
      </c>
    </row>
    <row r="14" spans="1:2">
      <c r="B14" s="399" t="s">
        <v>23</v>
      </c>
    </row>
    <row r="15" spans="1:2">
      <c r="B15" s="399" t="s">
        <v>24</v>
      </c>
    </row>
    <row r="16" spans="1:2">
      <c r="B16" s="399" t="s">
        <v>25</v>
      </c>
    </row>
    <row r="17" spans="2:2">
      <c r="B17" s="399" t="s">
        <v>26</v>
      </c>
    </row>
    <row r="18" spans="2:2">
      <c r="B18" s="399" t="s">
        <v>27</v>
      </c>
    </row>
    <row r="19" spans="2:2">
      <c r="B19" s="399" t="s">
        <v>28</v>
      </c>
    </row>
    <row r="20" spans="2:2">
      <c r="B20" s="399" t="s">
        <v>29</v>
      </c>
    </row>
    <row r="21" spans="2:2">
      <c r="B21" s="399" t="s">
        <v>30</v>
      </c>
    </row>
    <row r="22" spans="2:2">
      <c r="B22" s="399" t="s">
        <v>31</v>
      </c>
    </row>
    <row r="23" spans="2:2">
      <c r="B23" s="399" t="s">
        <v>32</v>
      </c>
    </row>
    <row r="24" spans="2:2">
      <c r="B24" s="399" t="s">
        <v>33</v>
      </c>
    </row>
    <row r="25" spans="2:2">
      <c r="B25" s="399" t="s">
        <v>34</v>
      </c>
    </row>
    <row r="26" spans="2:2">
      <c r="B26" s="399" t="s">
        <v>35</v>
      </c>
    </row>
    <row r="27" spans="2:2">
      <c r="B27" s="399" t="s">
        <v>36</v>
      </c>
    </row>
    <row r="28" spans="2:2">
      <c r="B28" s="398" t="s">
        <v>18</v>
      </c>
    </row>
  </sheetData>
  <hyperlinks>
    <hyperlink ref="B1" location="'1POMCAS'!A1" display="Porcentaje de avance en la formulación y/o ajuste de los Planes de Ordenación y Manejo de Cuencas (POMCAS), Planes de Manejo de Acuíferos (PMA) y Planes de Manejo de Microcuencas (PMM)" xr:uid="{00000000-0004-0000-0000-000000000000}"/>
    <hyperlink ref="B2" location="'2PORH'!A1" display="Porcentaje de cuerpos de agua con planes de ordenamiento del recurso hídrico (PORH) adoptados" xr:uid="{00000000-0004-0000-0000-000001000000}"/>
    <hyperlink ref="B3" location="'3PSMV'!_Toc467769470" display="Porcentaje de Planes de Saneamiento y Manejo de Vertimientos (PSMV) con seguimiento" xr:uid="{00000000-0004-0000-0000-000002000000}"/>
    <hyperlink ref="B4" location="'4UsoAguas'!_Toc467769471" display="Porcentaje de cuerpos de agua con reglamentación del uso de las aguas" xr:uid="{00000000-0004-0000-0000-000003000000}"/>
    <hyperlink ref="B5" location="'5PUEAA'!_Toc467769472" display="Porcentaje de Programas de Uso Eficiente y Ahorro del Agua (PUEAA) con seguimiento" xr:uid="{00000000-0004-0000-0000-000004000000}"/>
    <hyperlink ref="B6" location="'6POMCASejec'!_Toc467769473" display="Porcentaje de Planes de Ordenación y Manejo de Cuencas (POMCAS), Planes de Manejo de Acuíferos (PMA) y Planes de Manejo de Microcuencas (PMM) en ejecución" xr:uid="{00000000-0004-0000-00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000-000006000000}"/>
    <hyperlink ref="B8" location="'8Suelo'!_Toc467769475" display="Porcentaje de suelos degradados en recuperación o rehabilitación" xr:uid="{00000000-0004-0000-0000-000007000000}"/>
    <hyperlink ref="B9" location="'9RUNAP'!_Toc467769476" display="Porcentaje de la superficie de áreas protegidas regionales declaradas, homologadas o recategorizadas, inscritas en el RUNAP" xr:uid="{00000000-0004-0000-0000-000008000000}"/>
    <hyperlink ref="B10" location="'10Paramos'!_Toc467769477" display="Porcentaje de páramos delimitados por el MADS, con zonificación y régimen de usos adoptados por la CAR" xr:uid="{00000000-0004-0000-0000-000009000000}"/>
    <hyperlink ref="B11" location="'11Forest'!_Toc467769478" display="Porcentaje de avance en la formulación del Plan de Ordenación Forestal" xr:uid="{00000000-0004-0000-0000-00000A000000}"/>
    <hyperlink ref="B12" location="'12PlanesAP'!_Toc467769479" display="Porcentaje de áreas protegidas con planes de manejo en ejecución" xr:uid="{00000000-0004-0000-0000-00000B000000}"/>
    <hyperlink ref="B13" location="'13Amenaz'!_Toc467769480" display="Porcentaje de especies amenazadas con medidas de conservación y manejo en ejecución" xr:uid="{00000000-0004-0000-0000-00000C000000}"/>
    <hyperlink ref="B14" location="'14Invasor'!_Toc467769481" display="Porcentaje de especies invasoras con medidas de prevención, control y manejo en ejecución" xr:uid="{00000000-0004-0000-0000-00000D000000}"/>
    <hyperlink ref="B15" location="'15Restaura'!_Toc467769482" display="Porcentaje de áreas de ecosistemas en restauración, rehabilitación y reforestación" xr:uid="{00000000-0004-0000-0000-00000E000000}"/>
    <hyperlink ref="B16" location="'16MIZC'!_Toc467769483" display="Implementación de acciones en manejo integrado de zonas costeras" xr:uid="{00000000-0004-0000-0000-00000F000000}"/>
    <hyperlink ref="B17" location="'17PGIRS'!_Toc467769484" display="Porcentaje de Planes de Gestión Integral de Residuos Sólidos (PGIRS) con seguimiento a metas de aprovechamiento" xr:uid="{00000000-0004-0000-0000-000010000000}"/>
    <hyperlink ref="B18" location="'18Sector'!_Toc467769485" display="Porcentaje de sectores con acompañamiento para la reconversión hacia sistemas sostenibles de producción" xr:uid="{00000000-0004-0000-0000-000011000000}"/>
    <hyperlink ref="B19" location="'19GAU'!_Toc467769486" display="Porcentaje de ejecución de acciones en Gestión Ambiental Urbana" xr:uid="{00000000-0004-0000-0000-000012000000}"/>
    <hyperlink ref="B20" location="'20Negoc'!_Toc467769487" display="Implementación del Programa Regional de Negocios Verdes por la autoridad ambiental" xr:uid="{00000000-0004-0000-0000-000013000000}"/>
    <hyperlink ref="B22" location="'22Autor'!_Toc467769489" display="Porcentaje de autorizaciones ambientales con seguimiento" xr:uid="{00000000-0004-0000-0000-000014000000}"/>
    <hyperlink ref="B23" location="'23Sanc'!_Toc467769490" display="Porcentaje de Procesos Sancionatorios Resueltos" xr:uid="{00000000-0004-0000-00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000-000016000000}"/>
    <hyperlink ref="B25" location="'25Redes'!_Toc467769492" display="Porcentaje de redes y estaciones de monitoreo en operación" xr:uid="{00000000-0004-0000-0000-000017000000}"/>
    <hyperlink ref="B26" location="'26SIAC'!_Toc467769493" display="Porcentaje de actualización y reporte de la información en el SIAC" xr:uid="{00000000-0004-0000-0000-000018000000}"/>
    <hyperlink ref="B27" location="'27Educa'!_Toc467769494" display="Ejecución de Acciones en Educación Ambiental" xr:uid="{00000000-0004-0000-0000-000019000000}"/>
    <hyperlink ref="B21" location="'21TiempoT'!_Toc467769488" display="Tiempo promedio de trámite para la resolución de autorizaciones ambientales otorgadas por la corporación" xr:uid="{00000000-0004-0000-00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dimension ref="A1:U75"/>
  <sheetViews>
    <sheetView topLeftCell="A16" workbookViewId="0">
      <selection activeCell="E13" sqref="E13:R13"/>
    </sheetView>
  </sheetViews>
  <sheetFormatPr baseColWidth="10" defaultColWidth="11.44140625" defaultRowHeight="14.4"/>
  <cols>
    <col min="1" max="1" width="1.88671875" customWidth="1"/>
    <col min="2" max="2" width="12.88671875" customWidth="1"/>
    <col min="3" max="3" width="6.6640625" style="65" customWidth="1"/>
    <col min="4" max="4" width="34.88671875" customWidth="1"/>
    <col min="5" max="5" width="17.44140625" customWidth="1"/>
    <col min="9" max="9" width="67"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5</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539">
        <v>2025</v>
      </c>
      <c r="D8" s="164">
        <f>IF(E10="NO APLICA","NO APLICA",IF(E11="NO SE REPORTA","SIN INFORMACION",+F22))</f>
        <v>1</v>
      </c>
      <c r="E8" s="161"/>
      <c r="F8" s="5" t="s">
        <v>740</v>
      </c>
      <c r="G8" s="5"/>
      <c r="H8" s="5"/>
      <c r="I8" s="5"/>
      <c r="J8" s="5"/>
      <c r="K8" s="5"/>
    </row>
    <row r="9" spans="1:21">
      <c r="B9" s="290" t="s">
        <v>741</v>
      </c>
      <c r="C9" s="66"/>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69" customHeight="1">
      <c r="B12" s="290"/>
      <c r="C12" s="66"/>
      <c r="D12" s="141" t="str">
        <f>IF(E11="SI SE REPORTA","¿Qué programas o proyectos del Plan de Acción están asociados al indicador? ","")</f>
        <v xml:space="preserve">¿Qué programas o proyectos del Plan de Acción están asociados al indicador? </v>
      </c>
      <c r="E12" s="2500" t="s">
        <v>934</v>
      </c>
      <c r="F12" s="2500"/>
      <c r="G12" s="2500"/>
      <c r="H12" s="2500"/>
      <c r="I12" s="2500"/>
      <c r="J12" s="2500"/>
      <c r="K12" s="2500"/>
      <c r="L12" s="2500"/>
      <c r="M12" s="2500"/>
      <c r="N12" s="2500"/>
      <c r="O12" s="2500"/>
      <c r="P12" s="2500"/>
      <c r="Q12" s="2500"/>
      <c r="R12" s="2500"/>
    </row>
    <row r="13" spans="1:21" ht="34.200000000000003" customHeight="1">
      <c r="B13" s="290"/>
      <c r="C13" s="66"/>
      <c r="D13" s="141" t="s">
        <v>746</v>
      </c>
      <c r="E13" s="2501" t="s">
        <v>2136</v>
      </c>
      <c r="F13" s="2502"/>
      <c r="G13" s="2502"/>
      <c r="H13" s="2502"/>
      <c r="I13" s="2502"/>
      <c r="J13" s="2502"/>
      <c r="K13" s="2502"/>
      <c r="L13" s="2502"/>
      <c r="M13" s="2502"/>
      <c r="N13" s="2502"/>
      <c r="O13" s="2502"/>
      <c r="P13" s="2502"/>
      <c r="Q13" s="2502"/>
      <c r="R13" s="2503"/>
    </row>
    <row r="14" spans="1:21" ht="6.9" customHeight="1" thickBot="1">
      <c r="B14" s="290"/>
      <c r="C14" s="66"/>
      <c r="D14" s="5"/>
      <c r="E14" s="5"/>
      <c r="F14" s="5"/>
      <c r="G14" s="5"/>
      <c r="H14" s="5"/>
      <c r="I14" s="5"/>
      <c r="J14" s="5"/>
      <c r="K14" s="5"/>
    </row>
    <row r="15" spans="1:21" ht="15" thickBot="1">
      <c r="B15" s="2421" t="s">
        <v>747</v>
      </c>
      <c r="C15" s="67"/>
      <c r="D15" s="2412" t="s">
        <v>748</v>
      </c>
      <c r="E15" s="2413"/>
      <c r="F15" s="2413"/>
      <c r="G15" s="2413"/>
      <c r="H15" s="2413"/>
      <c r="I15" s="2413"/>
      <c r="J15" s="2414"/>
      <c r="K15" s="5"/>
    </row>
    <row r="16" spans="1:21" ht="44.25" customHeight="1" thickBot="1">
      <c r="B16" s="2422"/>
      <c r="C16" s="72"/>
      <c r="D16" s="34" t="s">
        <v>935</v>
      </c>
      <c r="E16" s="429">
        <v>23</v>
      </c>
      <c r="F16" s="5"/>
      <c r="G16" s="5"/>
      <c r="H16" s="5"/>
      <c r="I16" s="5"/>
      <c r="J16" s="17"/>
      <c r="K16" s="5"/>
    </row>
    <row r="17" spans="2:11" ht="57.75" customHeight="1" thickBot="1">
      <c r="B17" s="2422"/>
      <c r="C17" s="72"/>
      <c r="D17" s="32" t="s">
        <v>936</v>
      </c>
      <c r="E17" s="429">
        <v>23</v>
      </c>
      <c r="F17" s="306"/>
      <c r="G17" s="5"/>
      <c r="H17" s="5"/>
      <c r="I17" s="5"/>
      <c r="J17" s="17"/>
      <c r="K17" s="5"/>
    </row>
    <row r="18" spans="2:11" ht="15" thickBot="1">
      <c r="B18" s="2422"/>
      <c r="C18" s="70"/>
      <c r="D18" s="2434"/>
      <c r="E18" s="2435"/>
      <c r="F18" s="2435"/>
      <c r="G18" s="2435"/>
      <c r="H18" s="2435"/>
      <c r="I18" s="2435"/>
      <c r="J18" s="2436"/>
      <c r="K18" s="5"/>
    </row>
    <row r="19" spans="2:11" ht="23.25" customHeight="1" thickBot="1">
      <c r="B19" s="2422"/>
      <c r="C19" s="76" t="s">
        <v>698</v>
      </c>
      <c r="D19" s="34" t="s">
        <v>904</v>
      </c>
      <c r="E19" s="757" t="s">
        <v>784</v>
      </c>
      <c r="F19" s="68" t="s">
        <v>593</v>
      </c>
      <c r="G19" s="68" t="s">
        <v>594</v>
      </c>
      <c r="H19" s="68" t="s">
        <v>595</v>
      </c>
      <c r="I19" s="171" t="s">
        <v>702</v>
      </c>
      <c r="J19" s="88"/>
      <c r="K19" s="5"/>
    </row>
    <row r="20" spans="2:11" ht="48.75" customHeight="1" thickBot="1">
      <c r="B20" s="2422"/>
      <c r="C20" s="2" t="s">
        <v>906</v>
      </c>
      <c r="D20" s="471" t="s">
        <v>937</v>
      </c>
      <c r="E20" s="429">
        <v>0</v>
      </c>
      <c r="F20" s="429">
        <v>23</v>
      </c>
      <c r="G20" s="429"/>
      <c r="H20" s="429"/>
      <c r="I20" s="782" t="s">
        <v>2059</v>
      </c>
      <c r="J20" s="530"/>
      <c r="K20" s="5"/>
    </row>
    <row r="21" spans="2:11" ht="36.75" customHeight="1" thickBot="1">
      <c r="B21" s="2422"/>
      <c r="C21" s="2" t="s">
        <v>908</v>
      </c>
      <c r="D21" s="471" t="s">
        <v>938</v>
      </c>
      <c r="E21" s="429">
        <v>0</v>
      </c>
      <c r="F21" s="429">
        <v>23</v>
      </c>
      <c r="G21" s="429"/>
      <c r="H21" s="429"/>
      <c r="I21" s="782"/>
      <c r="J21" s="89"/>
      <c r="K21" s="5"/>
    </row>
    <row r="22" spans="2:11" ht="39.75" customHeight="1" thickBot="1">
      <c r="B22" s="2423"/>
      <c r="C22" s="2" t="s">
        <v>910</v>
      </c>
      <c r="D22" s="32" t="s">
        <v>939</v>
      </c>
      <c r="E22" s="145" t="str">
        <f>IFERROR(E21/E20,"N.A.")</f>
        <v>N.A.</v>
      </c>
      <c r="F22" s="145">
        <f>IFERROR(F21/F20,"N.A.")</f>
        <v>1</v>
      </c>
      <c r="G22" s="145" t="str">
        <f>IFERROR(G21/G20,"N.A.")</f>
        <v>N.A.</v>
      </c>
      <c r="H22" s="145" t="str">
        <f>IFERROR(H21/H20,"N.A.")</f>
        <v>N.A.</v>
      </c>
      <c r="I22" s="289"/>
      <c r="J22" s="90"/>
      <c r="K22" s="5"/>
    </row>
    <row r="23" spans="2:11" ht="24" customHeight="1" thickBot="1">
      <c r="B23" s="37" t="s">
        <v>803</v>
      </c>
      <c r="C23" s="71"/>
      <c r="D23" s="2424" t="s">
        <v>940</v>
      </c>
      <c r="E23" s="2425"/>
      <c r="F23" s="2425"/>
      <c r="G23" s="2425"/>
      <c r="H23" s="2425"/>
      <c r="I23" s="2425"/>
      <c r="J23" s="2426"/>
      <c r="K23" s="5"/>
    </row>
    <row r="24" spans="2:11" ht="24.6" thickBot="1">
      <c r="B24" s="37" t="s">
        <v>805</v>
      </c>
      <c r="C24" s="71"/>
      <c r="D24" s="2424" t="s">
        <v>913</v>
      </c>
      <c r="E24" s="2425"/>
      <c r="F24" s="2425"/>
      <c r="G24" s="2425"/>
      <c r="H24" s="2425"/>
      <c r="I24" s="2425"/>
      <c r="J24" s="2426"/>
      <c r="K24" s="5"/>
    </row>
    <row r="25" spans="2:11" ht="15" thickBot="1">
      <c r="B25" s="1"/>
      <c r="C25" s="63"/>
      <c r="D25" s="5"/>
      <c r="E25" s="5"/>
      <c r="F25" s="5"/>
      <c r="G25" s="5"/>
      <c r="H25" s="5"/>
      <c r="I25" s="5"/>
      <c r="J25" s="5"/>
      <c r="K25" s="5"/>
    </row>
    <row r="26" spans="2:11" ht="24" customHeight="1" thickBot="1">
      <c r="B26" s="2431" t="s">
        <v>807</v>
      </c>
      <c r="C26" s="2432"/>
      <c r="D26" s="2432"/>
      <c r="E26" s="2433"/>
      <c r="F26" s="5"/>
      <c r="G26" s="5"/>
      <c r="H26" s="5"/>
      <c r="I26" s="5"/>
      <c r="J26" s="5"/>
      <c r="K26" s="5"/>
    </row>
    <row r="27" spans="2:11" ht="15" thickBot="1">
      <c r="B27" s="2421">
        <v>1</v>
      </c>
      <c r="C27" s="72"/>
      <c r="D27" s="38" t="s">
        <v>808</v>
      </c>
      <c r="E27" s="25" t="s">
        <v>809</v>
      </c>
      <c r="F27" s="5"/>
      <c r="G27" s="5"/>
      <c r="H27" s="5"/>
      <c r="I27" s="5"/>
      <c r="J27" s="5"/>
      <c r="K27" s="5"/>
    </row>
    <row r="28" spans="2:11" ht="24.6" thickBot="1">
      <c r="B28" s="2422"/>
      <c r="C28" s="72"/>
      <c r="D28" s="32" t="s">
        <v>528</v>
      </c>
      <c r="E28" s="24" t="s">
        <v>941</v>
      </c>
      <c r="F28" s="5"/>
      <c r="G28" s="5"/>
      <c r="H28" s="5"/>
      <c r="I28" s="5"/>
      <c r="J28" s="5"/>
      <c r="K28" s="5"/>
    </row>
    <row r="29" spans="2:11" ht="15" thickBot="1">
      <c r="B29" s="2422"/>
      <c r="C29" s="72"/>
      <c r="D29" s="32" t="s">
        <v>811</v>
      </c>
      <c r="E29" s="24" t="s">
        <v>942</v>
      </c>
      <c r="F29" s="5"/>
      <c r="G29" s="5"/>
      <c r="H29" s="5"/>
      <c r="I29" s="5"/>
      <c r="J29" s="5"/>
      <c r="K29" s="5"/>
    </row>
    <row r="30" spans="2:11" ht="17.25" customHeight="1" thickBot="1">
      <c r="B30" s="2422"/>
      <c r="C30" s="72"/>
      <c r="D30" s="32" t="s">
        <v>531</v>
      </c>
      <c r="E30" s="25" t="s">
        <v>943</v>
      </c>
      <c r="F30" s="5"/>
      <c r="G30" s="5"/>
      <c r="H30" s="5"/>
      <c r="I30" s="5"/>
      <c r="J30" s="5"/>
      <c r="K30" s="5"/>
    </row>
    <row r="31" spans="2:11" ht="29.4" thickBot="1">
      <c r="B31" s="2422"/>
      <c r="C31" s="72"/>
      <c r="D31" s="32" t="s">
        <v>534</v>
      </c>
      <c r="E31" s="490" t="s">
        <v>944</v>
      </c>
      <c r="F31" s="5"/>
      <c r="G31" s="5"/>
      <c r="H31" s="5"/>
      <c r="I31" s="5"/>
      <c r="J31" s="5"/>
      <c r="K31" s="5"/>
    </row>
    <row r="32" spans="2:11" ht="15" thickBot="1">
      <c r="B32" s="2422"/>
      <c r="C32" s="72"/>
      <c r="D32" s="32" t="s">
        <v>537</v>
      </c>
      <c r="E32" s="24" t="s">
        <v>945</v>
      </c>
      <c r="F32" s="5"/>
      <c r="G32" s="5"/>
      <c r="H32" s="5"/>
      <c r="I32" s="5"/>
      <c r="J32" s="5"/>
      <c r="K32" s="5"/>
    </row>
    <row r="33" spans="2:11" ht="24.6" thickBot="1">
      <c r="B33" s="2423"/>
      <c r="C33" s="2"/>
      <c r="D33" s="32" t="s">
        <v>815</v>
      </c>
      <c r="E33" s="24" t="s">
        <v>816</v>
      </c>
      <c r="F33" s="5"/>
      <c r="G33" s="5"/>
      <c r="H33" s="5"/>
      <c r="I33" s="5"/>
      <c r="J33" s="5"/>
      <c r="K33" s="5"/>
    </row>
    <row r="34" spans="2:11" ht="15" thickBot="1">
      <c r="B34" s="1"/>
      <c r="C34" s="63"/>
      <c r="D34" s="5"/>
      <c r="E34" s="5"/>
      <c r="F34" s="5"/>
      <c r="G34" s="5"/>
      <c r="H34" s="5"/>
      <c r="I34" s="5"/>
      <c r="J34" s="5"/>
      <c r="K34" s="5"/>
    </row>
    <row r="35" spans="2:11" ht="15" thickBot="1">
      <c r="B35" s="2431" t="s">
        <v>817</v>
      </c>
      <c r="C35" s="2432"/>
      <c r="D35" s="2432"/>
      <c r="E35" s="2433"/>
      <c r="F35" s="5"/>
      <c r="G35" s="5"/>
      <c r="H35" s="5"/>
      <c r="I35" s="5"/>
      <c r="J35" s="5"/>
      <c r="K35" s="5"/>
    </row>
    <row r="36" spans="2:11" ht="36.6" thickBot="1">
      <c r="B36" s="2421">
        <v>1</v>
      </c>
      <c r="C36" s="72"/>
      <c r="D36" s="38" t="s">
        <v>808</v>
      </c>
      <c r="E36" s="537" t="s">
        <v>818</v>
      </c>
      <c r="F36" s="5"/>
      <c r="G36" s="5"/>
      <c r="H36" s="5"/>
      <c r="I36" s="5"/>
      <c r="J36" s="5"/>
      <c r="K36" s="5"/>
    </row>
    <row r="37" spans="2:11" ht="72.599999999999994" thickBot="1">
      <c r="B37" s="2422"/>
      <c r="C37" s="72"/>
      <c r="D37" s="32" t="s">
        <v>528</v>
      </c>
      <c r="E37" s="537" t="s">
        <v>916</v>
      </c>
      <c r="F37" s="5"/>
      <c r="G37" s="5"/>
      <c r="H37" s="5"/>
      <c r="I37" s="5"/>
      <c r="J37" s="5"/>
      <c r="K37" s="5"/>
    </row>
    <row r="38" spans="2:11" ht="15" thickBot="1">
      <c r="B38" s="2422"/>
      <c r="C38" s="72"/>
      <c r="D38" s="32" t="s">
        <v>811</v>
      </c>
      <c r="E38" s="187"/>
      <c r="F38" s="5"/>
      <c r="G38" s="5"/>
      <c r="H38" s="5"/>
      <c r="I38" s="5"/>
      <c r="J38" s="5"/>
      <c r="K38" s="5"/>
    </row>
    <row r="39" spans="2:11" ht="15" thickBot="1">
      <c r="B39" s="2422"/>
      <c r="C39" s="72"/>
      <c r="D39" s="32" t="s">
        <v>531</v>
      </c>
      <c r="E39" s="187"/>
      <c r="F39" s="5"/>
      <c r="G39" s="5"/>
      <c r="H39" s="5"/>
      <c r="I39" s="5"/>
      <c r="J39" s="5"/>
      <c r="K39" s="5"/>
    </row>
    <row r="40" spans="2:11" ht="15" thickBot="1">
      <c r="B40" s="2422"/>
      <c r="C40" s="72"/>
      <c r="D40" s="32" t="s">
        <v>534</v>
      </c>
      <c r="E40" s="187"/>
      <c r="F40" s="5"/>
      <c r="G40" s="5"/>
      <c r="H40" s="5"/>
      <c r="I40" s="5"/>
      <c r="J40" s="5"/>
      <c r="K40" s="5"/>
    </row>
    <row r="41" spans="2:11" ht="15" thickBot="1">
      <c r="B41" s="2422"/>
      <c r="C41" s="72"/>
      <c r="D41" s="32" t="s">
        <v>537</v>
      </c>
      <c r="E41" s="187"/>
      <c r="F41" s="5"/>
      <c r="G41" s="5"/>
      <c r="H41" s="5"/>
      <c r="I41" s="5"/>
      <c r="J41" s="5"/>
      <c r="K41" s="5"/>
    </row>
    <row r="42" spans="2:11" ht="15" thickBot="1">
      <c r="B42" s="2423"/>
      <c r="C42" s="2"/>
      <c r="D42" s="32" t="s">
        <v>815</v>
      </c>
      <c r="E42" s="187"/>
      <c r="F42" s="5"/>
      <c r="G42" s="5"/>
      <c r="H42" s="5"/>
      <c r="I42" s="5"/>
      <c r="J42" s="5"/>
      <c r="K42" s="5"/>
    </row>
    <row r="43" spans="2:11" ht="15" thickBot="1">
      <c r="B43" s="1"/>
      <c r="C43" s="63"/>
      <c r="D43" s="5"/>
      <c r="E43" s="5"/>
      <c r="F43" s="5"/>
      <c r="G43" s="5"/>
      <c r="H43" s="5"/>
      <c r="I43" s="5"/>
      <c r="J43" s="5"/>
      <c r="K43" s="5"/>
    </row>
    <row r="44" spans="2:11" ht="15" customHeight="1" thickBot="1">
      <c r="B44" s="186" t="s">
        <v>820</v>
      </c>
      <c r="C44" s="97"/>
      <c r="D44" s="97"/>
      <c r="E44" s="98"/>
      <c r="G44" s="5"/>
      <c r="H44" s="5"/>
      <c r="I44" s="5"/>
      <c r="J44" s="5"/>
      <c r="K44" s="5"/>
    </row>
    <row r="45" spans="2:11" ht="24.6" thickBot="1">
      <c r="B45" s="78" t="s">
        <v>821</v>
      </c>
      <c r="C45" s="2" t="s">
        <v>822</v>
      </c>
      <c r="D45" s="32" t="s">
        <v>823</v>
      </c>
      <c r="E45" s="32" t="s">
        <v>824</v>
      </c>
      <c r="F45" s="5"/>
      <c r="G45" s="5"/>
      <c r="H45" s="5"/>
      <c r="I45" s="5"/>
      <c r="J45" s="5"/>
    </row>
    <row r="46" spans="2:11" ht="72.599999999999994" thickBot="1">
      <c r="B46" s="919">
        <v>42401</v>
      </c>
      <c r="C46" s="2">
        <v>0.01</v>
      </c>
      <c r="D46" s="57" t="s">
        <v>946</v>
      </c>
      <c r="E46" s="32"/>
      <c r="F46" s="5"/>
      <c r="G46" s="5"/>
      <c r="H46" s="5"/>
      <c r="I46" s="5"/>
      <c r="J46" s="5"/>
    </row>
    <row r="47" spans="2:11" ht="9.75" customHeight="1" thickBot="1">
      <c r="B47" s="3"/>
      <c r="C47" s="73"/>
      <c r="D47" s="5"/>
      <c r="E47" s="5"/>
      <c r="F47" s="5"/>
      <c r="G47" s="5"/>
      <c r="H47" s="5"/>
      <c r="I47" s="5"/>
      <c r="J47" s="5"/>
      <c r="K47" s="5"/>
    </row>
    <row r="48" spans="2:11">
      <c r="B48" s="105" t="s">
        <v>702</v>
      </c>
      <c r="C48" s="74"/>
      <c r="D48" s="5"/>
      <c r="E48" s="5"/>
      <c r="F48" s="5"/>
      <c r="G48" s="5"/>
      <c r="H48" s="5"/>
      <c r="I48" s="5"/>
      <c r="J48" s="5"/>
      <c r="K48" s="5"/>
    </row>
    <row r="49" spans="2:11">
      <c r="B49" s="2497"/>
      <c r="C49" s="2498"/>
      <c r="D49" s="2498"/>
      <c r="E49" s="2499"/>
      <c r="F49" s="5"/>
      <c r="G49" s="5"/>
      <c r="H49" s="5"/>
      <c r="I49" s="5"/>
      <c r="J49" s="5"/>
      <c r="K49" s="5"/>
    </row>
    <row r="50" spans="2:11" ht="6" customHeight="1" thickBot="1">
      <c r="B50" s="5"/>
      <c r="D50" s="5"/>
      <c r="E50" s="5"/>
      <c r="F50" s="5"/>
      <c r="G50" s="5"/>
      <c r="H50" s="5"/>
      <c r="I50" s="5"/>
      <c r="J50" s="5"/>
      <c r="K50" s="5"/>
    </row>
    <row r="51" spans="2:11" ht="24.6" thickBot="1">
      <c r="B51" s="41" t="s">
        <v>826</v>
      </c>
      <c r="C51" s="75"/>
      <c r="D51" s="5"/>
      <c r="E51" s="5"/>
      <c r="F51" s="5"/>
      <c r="G51" s="5"/>
      <c r="H51" s="5"/>
      <c r="I51" s="5"/>
      <c r="J51" s="5"/>
      <c r="K51" s="5"/>
    </row>
    <row r="52" spans="2:11" ht="6.75" customHeight="1" thickBot="1">
      <c r="B52" s="1"/>
      <c r="C52" s="63"/>
      <c r="D52" s="5"/>
      <c r="E52" s="5"/>
      <c r="F52" s="5"/>
      <c r="G52" s="5"/>
      <c r="H52" s="5"/>
      <c r="I52" s="5"/>
      <c r="J52" s="5"/>
      <c r="K52" s="5"/>
    </row>
    <row r="53" spans="2:11" ht="60.6" thickBot="1">
      <c r="B53" s="42" t="s">
        <v>827</v>
      </c>
      <c r="C53" s="76"/>
      <c r="D53" s="34" t="s">
        <v>947</v>
      </c>
      <c r="E53" s="5"/>
      <c r="F53" s="5"/>
      <c r="G53" s="5"/>
      <c r="H53" s="5"/>
      <c r="I53" s="5"/>
      <c r="J53" s="5"/>
      <c r="K53" s="5"/>
    </row>
    <row r="54" spans="2:11">
      <c r="B54" s="2421" t="s">
        <v>829</v>
      </c>
      <c r="C54" s="72"/>
      <c r="D54" s="43" t="s">
        <v>830</v>
      </c>
      <c r="E54" s="5"/>
      <c r="F54" s="5"/>
      <c r="G54" s="5"/>
      <c r="H54" s="5"/>
      <c r="I54" s="5"/>
      <c r="J54" s="5"/>
      <c r="K54" s="5"/>
    </row>
    <row r="55" spans="2:11" ht="60">
      <c r="B55" s="2422"/>
      <c r="C55" s="72"/>
      <c r="D55" s="36" t="s">
        <v>948</v>
      </c>
      <c r="E55" s="5"/>
      <c r="F55" s="5"/>
      <c r="G55" s="5"/>
      <c r="H55" s="5"/>
      <c r="I55" s="5"/>
      <c r="J55" s="5"/>
      <c r="K55" s="5"/>
    </row>
    <row r="56" spans="2:11">
      <c r="B56" s="2422"/>
      <c r="C56" s="72"/>
      <c r="D56" s="43" t="s">
        <v>920</v>
      </c>
      <c r="E56" s="5"/>
      <c r="F56" s="5"/>
      <c r="G56" s="5"/>
      <c r="H56" s="5"/>
      <c r="I56" s="5"/>
      <c r="J56" s="5"/>
      <c r="K56" s="5"/>
    </row>
    <row r="57" spans="2:11">
      <c r="B57" s="2422"/>
      <c r="C57" s="72"/>
      <c r="D57" s="36" t="s">
        <v>834</v>
      </c>
      <c r="E57" s="5"/>
      <c r="F57" s="5"/>
      <c r="G57" s="5"/>
      <c r="H57" s="5"/>
      <c r="I57" s="5"/>
      <c r="J57" s="5"/>
      <c r="K57" s="5"/>
    </row>
    <row r="58" spans="2:11">
      <c r="B58" s="2422"/>
      <c r="C58" s="72"/>
      <c r="D58" s="36" t="s">
        <v>949</v>
      </c>
      <c r="E58" s="5"/>
      <c r="F58" s="5"/>
      <c r="G58" s="5"/>
      <c r="H58" s="5"/>
      <c r="I58" s="5"/>
      <c r="J58" s="5"/>
      <c r="K58" s="5"/>
    </row>
    <row r="59" spans="2:11">
      <c r="B59" s="2422"/>
      <c r="C59" s="72"/>
      <c r="D59" s="36" t="s">
        <v>950</v>
      </c>
      <c r="E59" s="5"/>
      <c r="F59" s="5"/>
      <c r="G59" s="5"/>
      <c r="H59" s="5"/>
      <c r="I59" s="5"/>
      <c r="J59" s="5"/>
      <c r="K59" s="5"/>
    </row>
    <row r="60" spans="2:11">
      <c r="B60" s="2422"/>
      <c r="C60" s="72"/>
      <c r="D60" s="36" t="s">
        <v>951</v>
      </c>
      <c r="E60" s="5"/>
      <c r="F60" s="5"/>
      <c r="G60" s="5"/>
      <c r="H60" s="5"/>
      <c r="I60" s="5"/>
      <c r="J60" s="5"/>
      <c r="K60" s="5"/>
    </row>
    <row r="61" spans="2:11">
      <c r="B61" s="2422"/>
      <c r="C61" s="72"/>
      <c r="D61" s="36" t="s">
        <v>952</v>
      </c>
      <c r="E61" s="5"/>
      <c r="F61" s="5"/>
      <c r="G61" s="5"/>
      <c r="H61" s="5"/>
      <c r="I61" s="5"/>
      <c r="J61" s="5"/>
      <c r="K61" s="5"/>
    </row>
    <row r="62" spans="2:11" ht="15" thickBot="1">
      <c r="B62" s="2423"/>
      <c r="C62" s="2"/>
      <c r="D62" s="57"/>
      <c r="E62" s="5"/>
      <c r="F62" s="5"/>
      <c r="G62" s="5"/>
      <c r="H62" s="5"/>
      <c r="I62" s="5"/>
      <c r="J62" s="5"/>
      <c r="K62" s="5"/>
    </row>
    <row r="63" spans="2:11" ht="33.75" customHeight="1" thickBot="1">
      <c r="B63" s="37" t="s">
        <v>842</v>
      </c>
      <c r="C63" s="2"/>
      <c r="D63" s="32"/>
      <c r="E63" s="5"/>
      <c r="F63" s="5"/>
      <c r="G63" s="5"/>
      <c r="H63" s="5"/>
      <c r="I63" s="5"/>
      <c r="J63" s="5"/>
      <c r="K63" s="5"/>
    </row>
    <row r="64" spans="2:11" ht="96">
      <c r="B64" s="2421" t="s">
        <v>843</v>
      </c>
      <c r="C64" s="72"/>
      <c r="D64" s="36" t="s">
        <v>953</v>
      </c>
      <c r="E64" s="5"/>
      <c r="F64" s="5"/>
      <c r="G64" s="5"/>
      <c r="H64" s="5"/>
      <c r="I64" s="5"/>
      <c r="J64" s="5"/>
      <c r="K64" s="5"/>
    </row>
    <row r="65" spans="2:11" ht="84">
      <c r="B65" s="2422"/>
      <c r="C65" s="72"/>
      <c r="D65" s="36" t="s">
        <v>954</v>
      </c>
      <c r="E65" s="5"/>
      <c r="F65" s="5"/>
      <c r="G65" s="5"/>
      <c r="H65" s="5"/>
      <c r="I65" s="5"/>
      <c r="J65" s="5"/>
      <c r="K65" s="5"/>
    </row>
    <row r="66" spans="2:11" ht="96.6" thickBot="1">
      <c r="B66" s="2423"/>
      <c r="C66" s="2"/>
      <c r="D66" s="32" t="s">
        <v>955</v>
      </c>
      <c r="E66" s="5"/>
      <c r="F66" s="5"/>
      <c r="G66" s="5"/>
      <c r="H66" s="5"/>
      <c r="I66" s="5"/>
      <c r="J66" s="5"/>
      <c r="K66" s="5"/>
    </row>
    <row r="67" spans="2:11">
      <c r="B67" s="2421" t="s">
        <v>860</v>
      </c>
      <c r="C67" s="72"/>
      <c r="D67" s="36"/>
      <c r="E67" s="5"/>
      <c r="F67" s="5"/>
      <c r="G67" s="5"/>
      <c r="H67" s="5"/>
      <c r="I67" s="5"/>
      <c r="J67" s="5"/>
      <c r="K67" s="5"/>
    </row>
    <row r="68" spans="2:11">
      <c r="B68" s="2422"/>
      <c r="C68" s="72"/>
      <c r="D68" s="13"/>
      <c r="E68" s="5"/>
      <c r="F68" s="5"/>
      <c r="G68" s="5"/>
      <c r="H68" s="5"/>
      <c r="I68" s="5"/>
      <c r="J68" s="5"/>
      <c r="K68" s="5"/>
    </row>
    <row r="69" spans="2:11">
      <c r="B69" s="2422"/>
      <c r="C69" s="72"/>
      <c r="D69" s="36" t="s">
        <v>861</v>
      </c>
      <c r="E69" s="5"/>
      <c r="F69" s="5"/>
      <c r="G69" s="5"/>
      <c r="H69" s="5"/>
      <c r="I69" s="5"/>
      <c r="J69" s="5"/>
      <c r="K69" s="5"/>
    </row>
    <row r="70" spans="2:11" ht="38.4">
      <c r="B70" s="2422"/>
      <c r="C70" s="72"/>
      <c r="D70" s="36" t="s">
        <v>956</v>
      </c>
      <c r="E70" s="5"/>
      <c r="F70" s="5"/>
      <c r="G70" s="5"/>
      <c r="H70" s="5"/>
      <c r="I70" s="5"/>
      <c r="J70" s="5"/>
      <c r="K70" s="5"/>
    </row>
    <row r="71" spans="2:11" ht="38.4">
      <c r="B71" s="2422"/>
      <c r="C71" s="72"/>
      <c r="D71" s="36" t="s">
        <v>957</v>
      </c>
      <c r="E71" s="5"/>
      <c r="F71" s="5"/>
      <c r="G71" s="5"/>
      <c r="H71" s="5"/>
      <c r="I71" s="5"/>
      <c r="J71" s="5"/>
      <c r="K71" s="5"/>
    </row>
    <row r="72" spans="2:11" ht="38.4">
      <c r="B72" s="2422"/>
      <c r="C72" s="72"/>
      <c r="D72" s="36" t="s">
        <v>958</v>
      </c>
      <c r="E72" s="5"/>
      <c r="F72" s="5"/>
      <c r="G72" s="5"/>
      <c r="H72" s="5"/>
      <c r="I72" s="5"/>
      <c r="J72" s="5"/>
      <c r="K72" s="5"/>
    </row>
    <row r="73" spans="2:11" ht="48.6" thickBot="1">
      <c r="B73" s="2423"/>
      <c r="C73" s="2"/>
      <c r="D73" s="32" t="s">
        <v>959</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sheetData>
  <mergeCells count="23">
    <mergeCell ref="B10:D10"/>
    <mergeCell ref="F10:S10"/>
    <mergeCell ref="F11:S11"/>
    <mergeCell ref="E12:R12"/>
    <mergeCell ref="E13:R13"/>
    <mergeCell ref="B67:B73"/>
    <mergeCell ref="B15:B22"/>
    <mergeCell ref="D23:J23"/>
    <mergeCell ref="D24:J24"/>
    <mergeCell ref="B26:E26"/>
    <mergeCell ref="B27:B33"/>
    <mergeCell ref="B35:E35"/>
    <mergeCell ref="D15:J15"/>
    <mergeCell ref="D18:J18"/>
    <mergeCell ref="B36:B42"/>
    <mergeCell ref="B54:B62"/>
    <mergeCell ref="B64:B66"/>
    <mergeCell ref="B49:E49"/>
    <mergeCell ref="A1:P1"/>
    <mergeCell ref="A2:P2"/>
    <mergeCell ref="A3:P3"/>
    <mergeCell ref="A4:D4"/>
    <mergeCell ref="A5:P5"/>
  </mergeCells>
  <conditionalFormatting sqref="E12:R12">
    <cfRule type="expression" dxfId="116" priority="1">
      <formula>E11="SI SE REPORTA"</formula>
    </cfRule>
  </conditionalFormatting>
  <conditionalFormatting sqref="F10">
    <cfRule type="notContainsBlanks" dxfId="115" priority="4">
      <formula>LEN(TRIM(F10))&gt;0</formula>
    </cfRule>
  </conditionalFormatting>
  <conditionalFormatting sqref="F11:S11">
    <cfRule type="expression" dxfId="114" priority="2">
      <formula>E11="NO SE REPORTA"</formula>
    </cfRule>
    <cfRule type="expression" dxfId="113"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700-000000000000}">
      <formula1>0</formula1>
    </dataValidation>
    <dataValidation type="list" allowBlank="1" showInputMessage="1" showErrorMessage="1" sqref="E11" xr:uid="{00000000-0002-0000-0700-000001000000}">
      <formula1>REPORTE</formula1>
    </dataValidation>
    <dataValidation type="list" allowBlank="1" showInputMessage="1" showErrorMessage="1" sqref="E10" xr:uid="{00000000-0002-0000-0700-000002000000}">
      <formula1>SI</formula1>
    </dataValidation>
  </dataValidations>
  <hyperlinks>
    <hyperlink ref="B9" location="'ANEXO 3'!A1" display="VOLVER AL INDICE" xr:uid="{00000000-0004-0000-0700-000000000000}"/>
    <hyperlink ref="E31" r:id="rId1" xr:uid="{00000000-0004-0000-0700-000001000000}"/>
  </hyperlinks>
  <pageMargins left="0.25" right="0.25" top="0.75" bottom="0.75" header="0.3" footer="0.3"/>
  <pageSetup paperSize="178" orientation="landscape" horizontalDpi="1200" verticalDpi="120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U74"/>
  <sheetViews>
    <sheetView topLeftCell="A4" workbookViewId="0">
      <selection activeCell="D8" sqref="D8"/>
    </sheetView>
  </sheetViews>
  <sheetFormatPr baseColWidth="10" defaultColWidth="11.44140625" defaultRowHeight="14.4"/>
  <cols>
    <col min="1" max="1" width="1.88671875" customWidth="1"/>
    <col min="2" max="2" width="14.33203125" customWidth="1"/>
    <col min="3" max="3" width="7.44140625" style="65" customWidth="1"/>
    <col min="4" max="4" width="34.88671875" customWidth="1"/>
    <col min="5" max="5" width="13.1093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7</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753">
        <v>2025</v>
      </c>
      <c r="D8" s="164">
        <f>+IF(E10="NO APLICA","NO APLICA",IF(E11="NO SE REPORTA","SIN INFORMACION",+F23))</f>
        <v>0.3</v>
      </c>
      <c r="E8" s="161"/>
      <c r="F8" s="5" t="s">
        <v>740</v>
      </c>
      <c r="G8" s="5"/>
      <c r="H8" s="5"/>
      <c r="I8" s="5"/>
      <c r="J8" s="5"/>
      <c r="K8" s="5"/>
    </row>
    <row r="9" spans="1:21">
      <c r="B9" s="290" t="s">
        <v>741</v>
      </c>
      <c r="C9" s="66"/>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20.25"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78" customHeight="1">
      <c r="B12" s="908"/>
      <c r="C12" s="66"/>
      <c r="D12" s="141" t="str">
        <f>IF(E11="SI SE REPORTA","¿Qué programas o proyectos del Plan de Acción están asociados al indicador? ","")</f>
        <v xml:space="preserve">¿Qué programas o proyectos del Plan de Acción están asociados al indicador? </v>
      </c>
      <c r="E12" s="2510" t="s">
        <v>2104</v>
      </c>
      <c r="F12" s="2511"/>
      <c r="G12" s="2511"/>
      <c r="H12" s="2511"/>
      <c r="I12" s="2511"/>
      <c r="J12" s="2511"/>
      <c r="K12" s="2511"/>
      <c r="L12" s="2511"/>
      <c r="M12" s="2511"/>
      <c r="N12" s="2511"/>
      <c r="O12" s="2511"/>
      <c r="P12" s="2511"/>
      <c r="Q12" s="2511"/>
      <c r="R12" s="2512"/>
    </row>
    <row r="13" spans="1:21" ht="19.8" customHeight="1">
      <c r="B13" s="290"/>
      <c r="C13" s="66"/>
      <c r="D13" s="141" t="s">
        <v>746</v>
      </c>
      <c r="E13" s="2510"/>
      <c r="F13" s="2511"/>
      <c r="G13" s="2511"/>
      <c r="H13" s="2511"/>
      <c r="I13" s="2511"/>
      <c r="J13" s="2511"/>
      <c r="K13" s="2511"/>
      <c r="L13" s="2511"/>
      <c r="M13" s="2511"/>
      <c r="N13" s="2511"/>
      <c r="O13" s="2511"/>
      <c r="P13" s="2511"/>
      <c r="Q13" s="2511"/>
      <c r="R13" s="2512"/>
    </row>
    <row r="14" spans="1:21" ht="6.9" customHeight="1" thickBot="1">
      <c r="B14" s="290"/>
      <c r="C14" s="66"/>
      <c r="D14" s="5"/>
      <c r="E14" s="5"/>
      <c r="F14" s="5"/>
      <c r="G14" s="5"/>
      <c r="H14" s="5"/>
      <c r="I14" s="5"/>
      <c r="J14" s="5"/>
      <c r="K14" s="5"/>
    </row>
    <row r="15" spans="1:21" ht="15" thickBot="1">
      <c r="B15" s="2421" t="s">
        <v>747</v>
      </c>
      <c r="C15" s="67"/>
      <c r="D15" s="2412" t="s">
        <v>748</v>
      </c>
      <c r="E15" s="2413"/>
      <c r="F15" s="2413"/>
      <c r="G15" s="2413"/>
      <c r="H15" s="2413"/>
      <c r="I15" s="2413"/>
      <c r="J15" s="2414"/>
      <c r="K15" s="5"/>
    </row>
    <row r="16" spans="1:21" ht="27" customHeight="1" thickBot="1">
      <c r="B16" s="2422"/>
      <c r="C16" s="72"/>
      <c r="D16" s="34" t="s">
        <v>960</v>
      </c>
      <c r="E16" s="429">
        <v>17</v>
      </c>
      <c r="F16" s="5"/>
      <c r="G16" s="5"/>
      <c r="H16" s="5"/>
      <c r="I16" s="5"/>
      <c r="J16" s="17"/>
      <c r="K16" s="5"/>
    </row>
    <row r="17" spans="2:11" ht="40.5" customHeight="1" thickBot="1">
      <c r="B17" s="2422"/>
      <c r="C17" s="72"/>
      <c r="D17" s="32" t="s">
        <v>2108</v>
      </c>
      <c r="E17" s="429">
        <v>1</v>
      </c>
      <c r="F17" s="5"/>
      <c r="G17" s="5"/>
      <c r="H17" s="5"/>
      <c r="I17" s="5"/>
      <c r="J17" s="17"/>
      <c r="K17" s="5"/>
    </row>
    <row r="18" spans="2:11" ht="36.6" thickBot="1">
      <c r="B18" s="2422"/>
      <c r="C18" s="72"/>
      <c r="D18" s="32" t="s">
        <v>961</v>
      </c>
      <c r="E18" s="429">
        <v>0</v>
      </c>
      <c r="F18" s="5"/>
      <c r="G18" s="5"/>
      <c r="H18" s="5"/>
      <c r="I18" s="5"/>
      <c r="J18" s="17"/>
      <c r="K18" s="5"/>
    </row>
    <row r="19" spans="2:11" ht="15" thickBot="1">
      <c r="B19" s="2422"/>
      <c r="C19" s="70"/>
      <c r="D19" s="2434"/>
      <c r="E19" s="2435"/>
      <c r="F19" s="2435"/>
      <c r="G19" s="2435"/>
      <c r="H19" s="2435"/>
      <c r="I19" s="2435"/>
      <c r="J19" s="2436"/>
      <c r="K19" s="5"/>
    </row>
    <row r="20" spans="2:11" ht="15" thickBot="1">
      <c r="B20" s="2422"/>
      <c r="C20" s="76" t="s">
        <v>698</v>
      </c>
      <c r="D20" s="34" t="s">
        <v>904</v>
      </c>
      <c r="E20" s="68" t="s">
        <v>592</v>
      </c>
      <c r="F20" s="68" t="s">
        <v>593</v>
      </c>
      <c r="G20" s="68" t="s">
        <v>594</v>
      </c>
      <c r="H20" s="68" t="s">
        <v>595</v>
      </c>
      <c r="I20" s="68" t="s">
        <v>905</v>
      </c>
      <c r="J20" s="88"/>
      <c r="K20" s="5"/>
    </row>
    <row r="21" spans="2:11" ht="24.6" thickBot="1">
      <c r="B21" s="2422"/>
      <c r="C21" s="2" t="s">
        <v>906</v>
      </c>
      <c r="D21" s="32" t="s">
        <v>962</v>
      </c>
      <c r="E21" s="429">
        <v>0</v>
      </c>
      <c r="F21" s="429">
        <v>1</v>
      </c>
      <c r="G21" s="429">
        <v>0</v>
      </c>
      <c r="H21" s="429">
        <v>0</v>
      </c>
      <c r="I21" s="501">
        <f>SUM(E21:H21)</f>
        <v>1</v>
      </c>
      <c r="J21" s="89"/>
      <c r="K21" s="5"/>
    </row>
    <row r="22" spans="2:11" ht="24.6" thickBot="1">
      <c r="B22" s="2422"/>
      <c r="C22" s="2" t="s">
        <v>908</v>
      </c>
      <c r="D22" s="32" t="s">
        <v>963</v>
      </c>
      <c r="E22" s="429">
        <v>0</v>
      </c>
      <c r="F22" s="907">
        <v>0</v>
      </c>
      <c r="G22" s="429">
        <v>0</v>
      </c>
      <c r="H22" s="429">
        <v>0</v>
      </c>
      <c r="I22" s="501">
        <f>SUM(E22:H22)</f>
        <v>0</v>
      </c>
      <c r="J22" s="89"/>
      <c r="K22" s="5"/>
    </row>
    <row r="23" spans="2:11" ht="36.6" thickBot="1">
      <c r="B23" s="2423"/>
      <c r="C23" s="2" t="s">
        <v>910</v>
      </c>
      <c r="D23" s="32" t="s">
        <v>964</v>
      </c>
      <c r="E23" s="475" t="str">
        <f>IFERROR(E22/E21,"N.A.")</f>
        <v>N.A.</v>
      </c>
      <c r="F23" s="475">
        <v>0.3</v>
      </c>
      <c r="G23" s="475" t="str">
        <f>IFERROR(G22/G21,"N.A.")</f>
        <v>N.A.</v>
      </c>
      <c r="H23" s="475" t="str">
        <f>IFERROR(H22/H21,"N.A.")</f>
        <v>N.A.</v>
      </c>
      <c r="I23" s="475">
        <f>IFERROR(I22/I21,"N.A.")</f>
        <v>0</v>
      </c>
      <c r="J23" s="90"/>
      <c r="K23" s="5"/>
    </row>
    <row r="24" spans="2:11" ht="24" customHeight="1" thickBot="1">
      <c r="B24" s="37" t="s">
        <v>803</v>
      </c>
      <c r="C24" s="71"/>
      <c r="D24" s="2424" t="s">
        <v>965</v>
      </c>
      <c r="E24" s="2425"/>
      <c r="F24" s="2425"/>
      <c r="G24" s="2425"/>
      <c r="H24" s="2425"/>
      <c r="I24" s="2425"/>
      <c r="J24" s="2426"/>
      <c r="K24" s="5"/>
    </row>
    <row r="25" spans="2:11" ht="24.6" thickBot="1">
      <c r="B25" s="37" t="s">
        <v>805</v>
      </c>
      <c r="C25" s="71"/>
      <c r="D25" s="2424" t="s">
        <v>913</v>
      </c>
      <c r="E25" s="2425"/>
      <c r="F25" s="2425"/>
      <c r="G25" s="2425"/>
      <c r="H25" s="2425"/>
      <c r="I25" s="2425"/>
      <c r="J25" s="2426"/>
      <c r="K25" s="5"/>
    </row>
    <row r="26" spans="2:11" ht="15" thickBot="1">
      <c r="B26" s="1"/>
      <c r="C26" s="63"/>
      <c r="D26" s="5"/>
      <c r="E26" s="5"/>
      <c r="F26" s="5"/>
      <c r="G26" s="5"/>
      <c r="H26" s="5"/>
      <c r="I26" s="5"/>
      <c r="J26" s="5"/>
      <c r="K26" s="5"/>
    </row>
    <row r="27" spans="2:11" ht="15" customHeight="1" thickBot="1">
      <c r="B27" s="2507" t="s">
        <v>807</v>
      </c>
      <c r="C27" s="2508"/>
      <c r="D27" s="2508"/>
      <c r="E27" s="2509"/>
      <c r="F27" s="538"/>
      <c r="G27" s="5"/>
      <c r="H27" s="5"/>
      <c r="I27" s="5"/>
      <c r="J27" s="5"/>
      <c r="K27" s="5"/>
    </row>
    <row r="28" spans="2:11" ht="15" thickBot="1">
      <c r="B28" s="2421">
        <v>1</v>
      </c>
      <c r="C28" s="72"/>
      <c r="D28" s="38" t="s">
        <v>808</v>
      </c>
      <c r="E28" s="131" t="s">
        <v>809</v>
      </c>
      <c r="F28" s="49"/>
      <c r="G28" s="5"/>
      <c r="H28" s="5"/>
      <c r="I28" s="5"/>
      <c r="J28" s="5"/>
      <c r="K28" s="5"/>
    </row>
    <row r="29" spans="2:11" ht="24.6" thickBot="1">
      <c r="B29" s="2422"/>
      <c r="C29" s="72"/>
      <c r="D29" s="32" t="s">
        <v>528</v>
      </c>
      <c r="E29" s="273" t="s">
        <v>966</v>
      </c>
      <c r="F29" s="49"/>
      <c r="G29" s="5"/>
      <c r="H29" s="5"/>
      <c r="I29" s="5"/>
      <c r="J29" s="5"/>
      <c r="K29" s="5"/>
    </row>
    <row r="30" spans="2:11" ht="24.6" thickBot="1">
      <c r="B30" s="2422"/>
      <c r="C30" s="72"/>
      <c r="D30" s="32" t="s">
        <v>811</v>
      </c>
      <c r="E30" s="273" t="s">
        <v>915</v>
      </c>
      <c r="F30" s="49"/>
      <c r="G30" s="5"/>
      <c r="H30" s="5"/>
      <c r="I30" s="5"/>
      <c r="J30" s="5"/>
      <c r="K30" s="5"/>
    </row>
    <row r="31" spans="2:11" ht="24.6" thickBot="1">
      <c r="B31" s="2422"/>
      <c r="C31" s="72"/>
      <c r="D31" s="32" t="s">
        <v>531</v>
      </c>
      <c r="E31" s="273" t="s">
        <v>967</v>
      </c>
      <c r="F31" s="49"/>
      <c r="G31" s="5"/>
      <c r="H31" s="5"/>
      <c r="I31" s="5"/>
      <c r="J31" s="5"/>
      <c r="K31" s="5"/>
    </row>
    <row r="32" spans="2:11" ht="24" customHeight="1" thickBot="1">
      <c r="B32" s="2422"/>
      <c r="C32" s="72"/>
      <c r="D32" s="32" t="s">
        <v>534</v>
      </c>
      <c r="E32" s="920" t="s">
        <v>814</v>
      </c>
      <c r="F32" s="49"/>
      <c r="G32" s="5"/>
      <c r="H32" s="5"/>
      <c r="I32" s="5"/>
      <c r="J32" s="5"/>
      <c r="K32" s="5"/>
    </row>
    <row r="33" spans="2:11" ht="15" thickBot="1">
      <c r="B33" s="2422"/>
      <c r="C33" s="72"/>
      <c r="D33" s="32" t="s">
        <v>537</v>
      </c>
      <c r="E33" s="131">
        <v>3686626</v>
      </c>
      <c r="F33" s="49"/>
      <c r="G33" s="5"/>
      <c r="H33" s="5"/>
      <c r="I33" s="5"/>
      <c r="J33" s="5"/>
      <c r="K33" s="5"/>
    </row>
    <row r="34" spans="2:11" ht="24.6" thickBot="1">
      <c r="B34" s="2423"/>
      <c r="C34" s="2"/>
      <c r="D34" s="32" t="s">
        <v>815</v>
      </c>
      <c r="E34" s="273" t="s">
        <v>816</v>
      </c>
      <c r="F34" s="49"/>
      <c r="G34" s="5"/>
      <c r="H34" s="5"/>
      <c r="I34" s="5"/>
      <c r="J34" s="5"/>
      <c r="K34" s="5"/>
    </row>
    <row r="35" spans="2:11" ht="15" thickBot="1">
      <c r="B35" s="1"/>
      <c r="C35" s="63"/>
      <c r="D35" s="5"/>
      <c r="E35" s="5"/>
      <c r="F35" s="5"/>
      <c r="G35" s="5"/>
      <c r="H35" s="5"/>
      <c r="I35" s="5"/>
      <c r="J35" s="5"/>
      <c r="K35" s="5"/>
    </row>
    <row r="36" spans="2:11" ht="15" customHeight="1" thickBot="1">
      <c r="B36" s="96" t="s">
        <v>817</v>
      </c>
      <c r="C36" s="97"/>
      <c r="D36" s="97"/>
      <c r="E36" s="98"/>
      <c r="F36" s="538"/>
      <c r="G36" s="5"/>
      <c r="H36" s="5"/>
      <c r="I36" s="5"/>
      <c r="J36" s="5"/>
      <c r="K36" s="5"/>
    </row>
    <row r="37" spans="2:11" ht="48.6" thickBot="1">
      <c r="B37" s="2421">
        <v>1</v>
      </c>
      <c r="C37" s="72"/>
      <c r="D37" s="38" t="s">
        <v>808</v>
      </c>
      <c r="E37" s="537" t="s">
        <v>818</v>
      </c>
      <c r="F37" s="49"/>
      <c r="G37" s="5"/>
      <c r="H37" s="5"/>
      <c r="I37" s="5"/>
      <c r="J37" s="5"/>
      <c r="K37" s="5"/>
    </row>
    <row r="38" spans="2:11" ht="72.599999999999994" thickBot="1">
      <c r="B38" s="2422"/>
      <c r="C38" s="72"/>
      <c r="D38" s="32" t="s">
        <v>528</v>
      </c>
      <c r="E38" s="537" t="s">
        <v>916</v>
      </c>
      <c r="F38" s="49"/>
      <c r="G38" s="5"/>
      <c r="H38" s="5"/>
      <c r="I38" s="5"/>
      <c r="J38" s="5"/>
      <c r="K38" s="5"/>
    </row>
    <row r="39" spans="2:11" ht="15" thickBot="1">
      <c r="B39" s="2422"/>
      <c r="C39" s="72"/>
      <c r="D39" s="32" t="s">
        <v>811</v>
      </c>
      <c r="E39" s="187"/>
      <c r="F39" s="49"/>
      <c r="G39" s="5"/>
      <c r="H39" s="5"/>
      <c r="I39" s="5"/>
      <c r="J39" s="5"/>
      <c r="K39" s="5"/>
    </row>
    <row r="40" spans="2:11" ht="15" thickBot="1">
      <c r="B40" s="2422"/>
      <c r="C40" s="72"/>
      <c r="D40" s="32" t="s">
        <v>531</v>
      </c>
      <c r="E40" s="187"/>
      <c r="F40" s="49"/>
      <c r="G40" s="5"/>
      <c r="H40" s="5"/>
      <c r="I40" s="5"/>
      <c r="J40" s="5"/>
      <c r="K40" s="5"/>
    </row>
    <row r="41" spans="2:11" ht="15" thickBot="1">
      <c r="B41" s="2422"/>
      <c r="C41" s="72"/>
      <c r="D41" s="32" t="s">
        <v>534</v>
      </c>
      <c r="E41" s="187"/>
      <c r="F41" s="49"/>
      <c r="G41" s="5"/>
      <c r="H41" s="5"/>
      <c r="I41" s="5"/>
      <c r="J41" s="5"/>
      <c r="K41" s="5"/>
    </row>
    <row r="42" spans="2:11" ht="15" thickBot="1">
      <c r="B42" s="2422"/>
      <c r="C42" s="72"/>
      <c r="D42" s="32" t="s">
        <v>537</v>
      </c>
      <c r="E42" s="187"/>
      <c r="F42" s="49"/>
      <c r="G42" s="5"/>
      <c r="H42" s="5"/>
      <c r="I42" s="5"/>
      <c r="J42" s="5"/>
      <c r="K42" s="5"/>
    </row>
    <row r="43" spans="2:11" ht="15" thickBot="1">
      <c r="B43" s="2423"/>
      <c r="C43" s="2"/>
      <c r="D43" s="32" t="s">
        <v>815</v>
      </c>
      <c r="E43" s="187"/>
      <c r="F43" s="49"/>
      <c r="G43" s="5"/>
      <c r="H43" s="5"/>
      <c r="I43" s="5"/>
      <c r="J43" s="5"/>
      <c r="K43" s="5"/>
    </row>
    <row r="44" spans="2:11" ht="15" thickBot="1">
      <c r="B44" s="1"/>
      <c r="C44" s="63"/>
      <c r="D44" s="5"/>
      <c r="E44" s="5"/>
      <c r="F44" s="5"/>
      <c r="G44" s="5"/>
      <c r="H44" s="5"/>
      <c r="I44" s="5"/>
      <c r="J44" s="5"/>
      <c r="K44" s="5"/>
    </row>
    <row r="45" spans="2:11" ht="15" customHeight="1" thickBot="1">
      <c r="B45" s="96" t="s">
        <v>820</v>
      </c>
      <c r="C45" s="97"/>
      <c r="D45" s="97"/>
      <c r="E45" s="98"/>
      <c r="G45" s="5"/>
      <c r="H45" s="5"/>
      <c r="I45" s="5"/>
      <c r="J45" s="5"/>
      <c r="K45" s="5"/>
    </row>
    <row r="46" spans="2:11" ht="24.6" thickBot="1">
      <c r="B46" s="37" t="s">
        <v>821</v>
      </c>
      <c r="C46" s="32" t="s">
        <v>822</v>
      </c>
      <c r="D46" s="32" t="s">
        <v>823</v>
      </c>
      <c r="E46" s="32" t="s">
        <v>824</v>
      </c>
      <c r="F46" s="5"/>
      <c r="G46" s="5"/>
      <c r="H46" s="5"/>
      <c r="I46" s="5"/>
      <c r="J46" s="5"/>
    </row>
    <row r="47" spans="2:11" ht="60.6" thickBot="1">
      <c r="B47" s="39">
        <v>42401</v>
      </c>
      <c r="C47" s="32">
        <v>0.01</v>
      </c>
      <c r="D47" s="57" t="s">
        <v>968</v>
      </c>
      <c r="E47" s="32"/>
      <c r="F47" s="5"/>
      <c r="G47" s="5"/>
      <c r="H47" s="5"/>
      <c r="I47" s="5"/>
      <c r="J47" s="5"/>
    </row>
    <row r="48" spans="2:11" ht="15" thickBot="1">
      <c r="B48" s="3"/>
      <c r="C48" s="73"/>
      <c r="D48" s="5"/>
      <c r="E48" s="5"/>
      <c r="F48" s="5"/>
      <c r="G48" s="5"/>
      <c r="H48" s="5"/>
      <c r="I48" s="5"/>
      <c r="J48" s="5"/>
      <c r="K48" s="5"/>
    </row>
    <row r="49" spans="2:11" ht="15" thickBot="1">
      <c r="B49" s="105" t="s">
        <v>702</v>
      </c>
      <c r="C49" s="74"/>
      <c r="D49" s="5"/>
      <c r="E49" s="5"/>
      <c r="F49" s="5"/>
      <c r="G49" s="5"/>
      <c r="H49" s="5"/>
      <c r="I49" s="5"/>
      <c r="J49" s="5"/>
      <c r="K49" s="5"/>
    </row>
    <row r="50" spans="2:11" ht="16.5" customHeight="1" thickBot="1">
      <c r="B50" s="2504"/>
      <c r="C50" s="2505"/>
      <c r="D50" s="2505"/>
      <c r="E50" s="2506"/>
      <c r="F50" s="5"/>
      <c r="G50" s="5"/>
      <c r="H50" s="5"/>
      <c r="I50" s="5"/>
      <c r="J50" s="5"/>
      <c r="K50" s="5"/>
    </row>
    <row r="51" spans="2:11" ht="15" thickBot="1">
      <c r="B51" s="5"/>
      <c r="D51" s="5"/>
      <c r="E51" s="5"/>
      <c r="F51" s="5"/>
      <c r="G51" s="5"/>
      <c r="H51" s="5"/>
      <c r="I51" s="5"/>
      <c r="J51" s="5"/>
      <c r="K51" s="5"/>
    </row>
    <row r="52" spans="2:11" ht="24.6" thickBot="1">
      <c r="B52" s="41" t="s">
        <v>826</v>
      </c>
      <c r="C52" s="75"/>
      <c r="D52" s="5"/>
      <c r="E52" s="5"/>
      <c r="F52" s="5"/>
      <c r="G52" s="5"/>
      <c r="H52" s="5"/>
      <c r="I52" s="5"/>
      <c r="J52" s="5"/>
      <c r="K52" s="5"/>
    </row>
    <row r="53" spans="2:11" ht="15" thickBot="1">
      <c r="B53" s="1"/>
      <c r="C53" s="63"/>
      <c r="D53" s="5"/>
      <c r="E53" s="5"/>
      <c r="F53" s="5"/>
      <c r="G53" s="5"/>
      <c r="H53" s="5"/>
      <c r="I53" s="5"/>
      <c r="J53" s="5"/>
      <c r="K53" s="5"/>
    </row>
    <row r="54" spans="2:11" ht="60.6" thickBot="1">
      <c r="B54" s="42" t="s">
        <v>827</v>
      </c>
      <c r="C54" s="76"/>
      <c r="D54" s="34" t="s">
        <v>969</v>
      </c>
      <c r="E54" s="5"/>
      <c r="F54" s="5"/>
      <c r="G54" s="5"/>
      <c r="H54" s="5"/>
      <c r="I54" s="5"/>
      <c r="J54" s="5"/>
      <c r="K54" s="5"/>
    </row>
    <row r="55" spans="2:11">
      <c r="B55" s="2421" t="s">
        <v>829</v>
      </c>
      <c r="C55" s="72"/>
      <c r="D55" s="43" t="s">
        <v>830</v>
      </c>
      <c r="E55" s="5"/>
      <c r="F55" s="5"/>
      <c r="G55" s="5"/>
      <c r="H55" s="5"/>
      <c r="I55" s="5"/>
      <c r="J55" s="5"/>
      <c r="K55" s="5"/>
    </row>
    <row r="56" spans="2:11" ht="48">
      <c r="B56" s="2422"/>
      <c r="C56" s="72"/>
      <c r="D56" s="36" t="s">
        <v>970</v>
      </c>
      <c r="E56" s="5"/>
      <c r="F56" s="5"/>
      <c r="G56" s="5"/>
      <c r="H56" s="5"/>
      <c r="I56" s="5"/>
      <c r="J56" s="5"/>
      <c r="K56" s="5"/>
    </row>
    <row r="57" spans="2:11">
      <c r="B57" s="2422"/>
      <c r="C57" s="72"/>
      <c r="D57" s="43" t="s">
        <v>920</v>
      </c>
      <c r="E57" s="5"/>
      <c r="F57" s="5"/>
      <c r="G57" s="5"/>
      <c r="H57" s="5"/>
      <c r="I57" s="5"/>
      <c r="J57" s="5"/>
      <c r="K57" s="5"/>
    </row>
    <row r="58" spans="2:11">
      <c r="B58" s="2422"/>
      <c r="C58" s="72"/>
      <c r="D58" s="36" t="s">
        <v>922</v>
      </c>
      <c r="E58" s="5"/>
      <c r="F58" s="5"/>
      <c r="G58" s="5"/>
      <c r="H58" s="5"/>
      <c r="I58" s="5"/>
      <c r="J58" s="5"/>
      <c r="K58" s="5"/>
    </row>
    <row r="59" spans="2:11">
      <c r="B59" s="2422"/>
      <c r="C59" s="72"/>
      <c r="D59" s="36" t="s">
        <v>949</v>
      </c>
      <c r="E59" s="5"/>
      <c r="F59" s="5"/>
      <c r="G59" s="5"/>
      <c r="H59" s="5"/>
      <c r="I59" s="5"/>
      <c r="J59" s="5"/>
      <c r="K59" s="5"/>
    </row>
    <row r="60" spans="2:11" ht="36">
      <c r="B60" s="2422"/>
      <c r="C60" s="72"/>
      <c r="D60" s="36" t="s">
        <v>926</v>
      </c>
      <c r="E60" s="5"/>
      <c r="F60" s="5"/>
      <c r="G60" s="5"/>
      <c r="H60" s="5"/>
      <c r="I60" s="5"/>
      <c r="J60" s="5"/>
      <c r="K60" s="5"/>
    </row>
    <row r="61" spans="2:11">
      <c r="B61" s="2422"/>
      <c r="C61" s="72"/>
      <c r="D61" s="43" t="s">
        <v>927</v>
      </c>
      <c r="E61" s="5"/>
      <c r="F61" s="5"/>
      <c r="G61" s="5"/>
      <c r="H61" s="5"/>
      <c r="I61" s="5"/>
      <c r="J61" s="5"/>
      <c r="K61" s="5"/>
    </row>
    <row r="62" spans="2:11" ht="24.6" thickBot="1">
      <c r="B62" s="2423"/>
      <c r="C62" s="2"/>
      <c r="D62" s="32" t="s">
        <v>928</v>
      </c>
      <c r="E62" s="5"/>
      <c r="F62" s="5"/>
      <c r="G62" s="5"/>
      <c r="H62" s="5"/>
      <c r="I62" s="5"/>
      <c r="J62" s="5"/>
      <c r="K62" s="5"/>
    </row>
    <row r="63" spans="2:11" ht="15" thickBot="1">
      <c r="B63" s="37" t="s">
        <v>842</v>
      </c>
      <c r="C63" s="2"/>
      <c r="D63" s="32"/>
      <c r="E63" s="5"/>
      <c r="F63" s="5"/>
      <c r="G63" s="5"/>
      <c r="H63" s="5"/>
      <c r="I63" s="5"/>
      <c r="J63" s="5"/>
      <c r="K63" s="5"/>
    </row>
    <row r="64" spans="2:11" ht="96">
      <c r="B64" s="2421" t="s">
        <v>843</v>
      </c>
      <c r="C64" s="72"/>
      <c r="D64" s="36" t="s">
        <v>971</v>
      </c>
      <c r="E64" s="5"/>
      <c r="F64" s="5"/>
      <c r="G64" s="5"/>
      <c r="H64" s="5"/>
      <c r="I64" s="5"/>
      <c r="J64" s="5"/>
      <c r="K64" s="5"/>
    </row>
    <row r="65" spans="2:11" ht="216">
      <c r="B65" s="2422"/>
      <c r="C65" s="72"/>
      <c r="D65" s="36" t="s">
        <v>972</v>
      </c>
      <c r="E65" s="5"/>
      <c r="F65" s="5"/>
      <c r="G65" s="5"/>
      <c r="H65" s="5"/>
      <c r="I65" s="5"/>
      <c r="J65" s="5"/>
      <c r="K65" s="5"/>
    </row>
    <row r="66" spans="2:11" ht="36.6" thickBot="1">
      <c r="B66" s="2423"/>
      <c r="C66" s="2"/>
      <c r="D66" s="32" t="s">
        <v>973</v>
      </c>
      <c r="E66" s="5"/>
      <c r="F66" s="5"/>
      <c r="G66" s="5"/>
      <c r="H66" s="5"/>
      <c r="I66" s="5"/>
      <c r="J66" s="5"/>
      <c r="K66" s="5"/>
    </row>
    <row r="67" spans="2:11">
      <c r="B67" s="2421" t="s">
        <v>860</v>
      </c>
      <c r="C67" s="72"/>
      <c r="D67" s="36"/>
      <c r="E67" s="5"/>
      <c r="F67" s="5"/>
      <c r="G67" s="5"/>
      <c r="H67" s="5"/>
      <c r="I67" s="5"/>
      <c r="J67" s="5"/>
      <c r="K67" s="5"/>
    </row>
    <row r="68" spans="2:11">
      <c r="B68" s="2422"/>
      <c r="C68" s="72"/>
      <c r="D68" s="13"/>
      <c r="E68" s="5"/>
      <c r="F68" s="5"/>
      <c r="G68" s="5"/>
      <c r="H68" s="5"/>
      <c r="I68" s="5"/>
      <c r="J68" s="5"/>
      <c r="K68" s="5"/>
    </row>
    <row r="69" spans="2:11">
      <c r="B69" s="2422"/>
      <c r="C69" s="72"/>
      <c r="D69" s="36" t="s">
        <v>861</v>
      </c>
      <c r="E69" s="5"/>
      <c r="F69" s="5"/>
      <c r="G69" s="5"/>
      <c r="H69" s="5"/>
      <c r="I69" s="5"/>
      <c r="J69" s="5"/>
      <c r="K69" s="5"/>
    </row>
    <row r="70" spans="2:11" ht="38.4">
      <c r="B70" s="2422"/>
      <c r="C70" s="72"/>
      <c r="D70" s="36" t="s">
        <v>974</v>
      </c>
      <c r="E70" s="5"/>
      <c r="F70" s="5"/>
      <c r="G70" s="5"/>
      <c r="H70" s="5"/>
      <c r="I70" s="5"/>
      <c r="J70" s="5"/>
      <c r="K70" s="5"/>
    </row>
    <row r="71" spans="2:11" ht="38.4">
      <c r="B71" s="2422"/>
      <c r="C71" s="72"/>
      <c r="D71" s="36" t="s">
        <v>975</v>
      </c>
      <c r="E71" s="5"/>
      <c r="F71" s="5"/>
      <c r="G71" s="5"/>
      <c r="H71" s="5"/>
      <c r="I71" s="5"/>
      <c r="J71" s="5"/>
      <c r="K71" s="5"/>
    </row>
    <row r="72" spans="2:11" ht="38.4">
      <c r="B72" s="2422"/>
      <c r="C72" s="72"/>
      <c r="D72" s="36" t="s">
        <v>976</v>
      </c>
      <c r="E72" s="5"/>
      <c r="F72" s="5"/>
      <c r="G72" s="5"/>
      <c r="H72" s="5"/>
      <c r="I72" s="5"/>
      <c r="J72" s="5"/>
      <c r="K72" s="5"/>
    </row>
    <row r="73" spans="2:11" ht="48.6" thickBot="1">
      <c r="B73" s="2423"/>
      <c r="C73" s="2"/>
      <c r="D73" s="32" t="s">
        <v>977</v>
      </c>
      <c r="E73" s="5"/>
      <c r="F73" s="5"/>
      <c r="G73" s="5"/>
      <c r="H73" s="5"/>
      <c r="I73" s="5"/>
      <c r="J73" s="5"/>
      <c r="K73" s="5"/>
    </row>
    <row r="74" spans="2:11">
      <c r="B74" s="5"/>
      <c r="D74" s="5"/>
      <c r="E74" s="5"/>
      <c r="F74" s="5"/>
      <c r="G74" s="5"/>
      <c r="H74" s="5"/>
      <c r="I74" s="5"/>
      <c r="J74" s="5"/>
      <c r="K74" s="5"/>
    </row>
  </sheetData>
  <mergeCells count="22">
    <mergeCell ref="B10:D10"/>
    <mergeCell ref="F10:S10"/>
    <mergeCell ref="F11:S11"/>
    <mergeCell ref="E12:R12"/>
    <mergeCell ref="E13:R13"/>
    <mergeCell ref="B55:B62"/>
    <mergeCell ref="B64:B66"/>
    <mergeCell ref="B67:B73"/>
    <mergeCell ref="B15:B23"/>
    <mergeCell ref="D15:J15"/>
    <mergeCell ref="D19:J19"/>
    <mergeCell ref="D24:J24"/>
    <mergeCell ref="D25:J25"/>
    <mergeCell ref="B28:B34"/>
    <mergeCell ref="B37:B43"/>
    <mergeCell ref="B50:E50"/>
    <mergeCell ref="B27:E27"/>
    <mergeCell ref="A1:P1"/>
    <mergeCell ref="A2:P2"/>
    <mergeCell ref="A3:P3"/>
    <mergeCell ref="A4:D4"/>
    <mergeCell ref="A5:P5"/>
  </mergeCells>
  <conditionalFormatting sqref="F10">
    <cfRule type="notContainsBlanks" dxfId="112" priority="4">
      <formula>LEN(TRIM(F10))&gt;0</formula>
    </cfRule>
  </conditionalFormatting>
  <conditionalFormatting sqref="F11:S11">
    <cfRule type="expression" dxfId="111" priority="2">
      <formula>E11="NO SE REPORTA"</formula>
    </cfRule>
    <cfRule type="expression" dxfId="110"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800-000000000000}">
      <formula1>0</formula1>
    </dataValidation>
    <dataValidation allowBlank="1" showInputMessage="1" showErrorMessage="1" sqref="I21:I22" xr:uid="{00000000-0002-0000-0800-000001000000}"/>
    <dataValidation type="list" allowBlank="1" showInputMessage="1" showErrorMessage="1" sqref="E11" xr:uid="{00000000-0002-0000-0800-000002000000}">
      <formula1>REPORTE</formula1>
    </dataValidation>
    <dataValidation type="list" allowBlank="1" showInputMessage="1" showErrorMessage="1" sqref="E10" xr:uid="{00000000-0002-0000-0800-000003000000}">
      <formula1>SI</formula1>
    </dataValidation>
  </dataValidations>
  <hyperlinks>
    <hyperlink ref="B9" location="'ANEXO 3'!A1" display="VOLVER AL INDICE" xr:uid="{00000000-0004-0000-0800-000000000000}"/>
    <hyperlink ref="E32" r:id="rId1" xr:uid="{00000000-0004-0000-0800-000001000000}"/>
  </hyperlinks>
  <pageMargins left="0.25" right="0.25" top="0.75" bottom="0.75" header="0.3" footer="0.3"/>
  <pageSetup paperSize="178" orientation="landscape"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U77"/>
  <sheetViews>
    <sheetView topLeftCell="A18" workbookViewId="0">
      <selection activeCell="I20" sqref="I20:J21"/>
    </sheetView>
  </sheetViews>
  <sheetFormatPr baseColWidth="10" defaultColWidth="11.44140625" defaultRowHeight="14.4"/>
  <cols>
    <col min="1" max="1" width="1.88671875" customWidth="1"/>
    <col min="2" max="2" width="12.88671875" customWidth="1"/>
    <col min="3" max="3" width="8.44140625" style="65" customWidth="1"/>
    <col min="4" max="4" width="34.88671875" customWidth="1"/>
    <col min="5" max="5" width="13.44140625" customWidth="1"/>
    <col min="10" max="10" width="60.3320312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
        <v>520</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9</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540">
        <v>2025</v>
      </c>
      <c r="D8" s="164">
        <f>+IF(E10="NO APLICA","NO APLICA",IF(E11="NO SE REPORTA","SIN INFORMACION",+F22))</f>
        <v>1</v>
      </c>
      <c r="E8" s="161"/>
      <c r="F8" s="5" t="s">
        <v>740</v>
      </c>
      <c r="G8" s="5"/>
      <c r="H8" s="5"/>
      <c r="I8" s="5"/>
      <c r="J8" s="5"/>
      <c r="K8" s="5"/>
    </row>
    <row r="9" spans="1:21">
      <c r="B9" s="290" t="s">
        <v>741</v>
      </c>
      <c r="C9" s="66"/>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60" customHeight="1">
      <c r="B12" s="290"/>
      <c r="C12" s="66"/>
      <c r="D12" s="141" t="str">
        <f>IF(E11="SI SE REPORTA","¿Qué programas o proyectos del Plan de Acción están asociados al indicador? ","")</f>
        <v xml:space="preserve">¿Qué programas o proyectos del Plan de Acción están asociados al indicador? </v>
      </c>
      <c r="E12" s="2500" t="s">
        <v>978</v>
      </c>
      <c r="F12" s="2500"/>
      <c r="G12" s="2500"/>
      <c r="H12" s="2500"/>
      <c r="I12" s="2500"/>
      <c r="J12" s="2500"/>
      <c r="K12" s="2500"/>
      <c r="L12" s="2500"/>
      <c r="M12" s="2500"/>
      <c r="N12" s="2500"/>
      <c r="O12" s="2500"/>
      <c r="P12" s="2500"/>
      <c r="Q12" s="2500"/>
      <c r="R12" s="2500"/>
    </row>
    <row r="13" spans="1:21" ht="13.5" customHeight="1">
      <c r="B13" s="290"/>
      <c r="C13" s="66"/>
      <c r="D13" s="141" t="s">
        <v>746</v>
      </c>
      <c r="E13" s="2501"/>
      <c r="F13" s="2502"/>
      <c r="G13" s="2502"/>
      <c r="H13" s="2502"/>
      <c r="I13" s="2502"/>
      <c r="J13" s="2502"/>
      <c r="K13" s="2502"/>
      <c r="L13" s="2502"/>
      <c r="M13" s="2502"/>
      <c r="N13" s="2502"/>
      <c r="O13" s="2502"/>
      <c r="P13" s="2502"/>
      <c r="Q13" s="2502"/>
      <c r="R13" s="2503"/>
    </row>
    <row r="14" spans="1:21" ht="6.9" customHeight="1" thickBot="1">
      <c r="B14" s="290"/>
      <c r="C14" s="66"/>
      <c r="D14" s="5"/>
      <c r="E14" s="5"/>
      <c r="F14" s="5"/>
      <c r="G14" s="5"/>
      <c r="H14" s="5"/>
      <c r="I14" s="5"/>
      <c r="J14" s="5"/>
      <c r="K14" s="5"/>
    </row>
    <row r="15" spans="1:21" ht="15" thickBot="1">
      <c r="B15" s="2421" t="s">
        <v>747</v>
      </c>
      <c r="C15" s="67"/>
      <c r="D15" s="2412" t="s">
        <v>748</v>
      </c>
      <c r="E15" s="2413"/>
      <c r="F15" s="2413"/>
      <c r="G15" s="2413"/>
      <c r="H15" s="2413"/>
      <c r="I15" s="2413"/>
      <c r="J15" s="2414"/>
      <c r="K15" s="5"/>
    </row>
    <row r="16" spans="1:21" ht="36.6" thickBot="1">
      <c r="B16" s="2422"/>
      <c r="C16" s="72"/>
      <c r="D16" s="34" t="s">
        <v>2068</v>
      </c>
      <c r="E16" s="429">
        <v>186</v>
      </c>
      <c r="F16" s="5"/>
      <c r="G16" s="5"/>
      <c r="H16" s="5"/>
      <c r="I16" s="5"/>
      <c r="J16" s="17"/>
      <c r="K16" s="5"/>
    </row>
    <row r="17" spans="2:11" ht="48.6" thickBot="1">
      <c r="B17" s="2422"/>
      <c r="C17" s="72"/>
      <c r="D17" s="32" t="s">
        <v>979</v>
      </c>
      <c r="E17" s="429">
        <v>186</v>
      </c>
      <c r="F17" s="5"/>
      <c r="G17" s="5"/>
      <c r="H17" s="5"/>
      <c r="I17" s="5"/>
      <c r="J17" s="17"/>
      <c r="K17" s="5"/>
    </row>
    <row r="18" spans="2:11" ht="15" thickBot="1">
      <c r="B18" s="2422"/>
      <c r="C18" s="70"/>
      <c r="D18" s="2434"/>
      <c r="E18" s="2435"/>
      <c r="F18" s="2435"/>
      <c r="G18" s="2435"/>
      <c r="H18" s="2435"/>
      <c r="I18" s="2435"/>
      <c r="J18" s="2436"/>
      <c r="K18" s="5"/>
    </row>
    <row r="19" spans="2:11" ht="28.5" customHeight="1" thickBot="1">
      <c r="B19" s="2422"/>
      <c r="C19" s="76" t="s">
        <v>698</v>
      </c>
      <c r="D19" s="430" t="s">
        <v>904</v>
      </c>
      <c r="E19" s="508" t="s">
        <v>798</v>
      </c>
      <c r="F19" s="508" t="s">
        <v>593</v>
      </c>
      <c r="G19" s="508" t="s">
        <v>594</v>
      </c>
      <c r="H19" s="508" t="s">
        <v>595</v>
      </c>
      <c r="I19" s="2539" t="s">
        <v>702</v>
      </c>
      <c r="J19" s="2540"/>
      <c r="K19" s="5"/>
    </row>
    <row r="20" spans="2:11" ht="66" customHeight="1" thickBot="1">
      <c r="B20" s="2422"/>
      <c r="C20" s="152" t="s">
        <v>906</v>
      </c>
      <c r="D20" s="471" t="s">
        <v>980</v>
      </c>
      <c r="E20" s="429">
        <v>83</v>
      </c>
      <c r="F20" s="429">
        <v>186</v>
      </c>
      <c r="G20" s="429"/>
      <c r="H20" s="429"/>
      <c r="I20" s="2543" t="s">
        <v>2069</v>
      </c>
      <c r="J20" s="2544"/>
      <c r="K20" s="5"/>
    </row>
    <row r="21" spans="2:11" ht="61.35" customHeight="1" thickBot="1">
      <c r="B21" s="2422"/>
      <c r="C21" s="152" t="s">
        <v>908</v>
      </c>
      <c r="D21" s="471" t="s">
        <v>981</v>
      </c>
      <c r="E21" s="429">
        <v>60</v>
      </c>
      <c r="F21" s="429">
        <v>186</v>
      </c>
      <c r="G21" s="429"/>
      <c r="H21" s="429"/>
      <c r="I21" s="2545"/>
      <c r="J21" s="2546"/>
      <c r="K21" s="5"/>
    </row>
    <row r="22" spans="2:11" ht="47.25" customHeight="1" thickBot="1">
      <c r="B22" s="2423"/>
      <c r="C22" s="152" t="s">
        <v>910</v>
      </c>
      <c r="D22" s="471" t="s">
        <v>982</v>
      </c>
      <c r="E22" s="475">
        <f>IFERROR(E21/E20,"N.A.")</f>
        <v>0.72289156626506024</v>
      </c>
      <c r="F22" s="475">
        <f>IFERROR(F21/F20,"N.A.")</f>
        <v>1</v>
      </c>
      <c r="G22" s="475" t="str">
        <f>IFERROR(G21/G20,"N.A.")</f>
        <v>N.A.</v>
      </c>
      <c r="H22" s="475" t="str">
        <f>IFERROR(H21/H20,"N.A.")</f>
        <v>N.A.</v>
      </c>
      <c r="I22" s="2541"/>
      <c r="J22" s="2542"/>
      <c r="K22" s="5"/>
    </row>
    <row r="23" spans="2:11" ht="24" customHeight="1" thickBot="1">
      <c r="B23" s="37" t="s">
        <v>803</v>
      </c>
      <c r="C23" s="71"/>
      <c r="D23" s="2424" t="s">
        <v>983</v>
      </c>
      <c r="E23" s="2425"/>
      <c r="F23" s="2425"/>
      <c r="G23" s="2425"/>
      <c r="H23" s="2425"/>
      <c r="I23" s="2425"/>
      <c r="J23" s="2426"/>
      <c r="K23" s="5"/>
    </row>
    <row r="24" spans="2:11" ht="24.6" thickBot="1">
      <c r="B24" s="37" t="s">
        <v>805</v>
      </c>
      <c r="C24" s="71"/>
      <c r="D24" s="2424" t="s">
        <v>913</v>
      </c>
      <c r="E24" s="2425"/>
      <c r="F24" s="2425"/>
      <c r="G24" s="2425"/>
      <c r="H24" s="2425"/>
      <c r="I24" s="2425"/>
      <c r="J24" s="2426"/>
      <c r="K24" s="5"/>
    </row>
    <row r="25" spans="2:11" ht="15" thickBot="1">
      <c r="B25" s="29"/>
      <c r="C25" s="66"/>
      <c r="D25" s="5"/>
      <c r="E25" s="5"/>
      <c r="F25" s="5"/>
      <c r="G25" s="5"/>
      <c r="H25" s="5"/>
      <c r="I25" s="5"/>
      <c r="J25" s="188"/>
      <c r="K25" s="5"/>
    </row>
    <row r="26" spans="2:11" ht="15" customHeight="1" thickBot="1">
      <c r="B26" s="96" t="s">
        <v>807</v>
      </c>
      <c r="C26" s="100"/>
      <c r="D26" s="100"/>
      <c r="E26" s="100"/>
      <c r="F26" s="100"/>
      <c r="G26" s="100"/>
      <c r="H26" s="100"/>
      <c r="I26" s="100"/>
      <c r="J26" s="101"/>
      <c r="K26" s="5"/>
    </row>
    <row r="27" spans="2:11" ht="15" thickBot="1">
      <c r="B27" s="2421">
        <v>1</v>
      </c>
      <c r="C27" s="67"/>
      <c r="D27" s="189" t="s">
        <v>808</v>
      </c>
      <c r="E27" s="2526" t="s">
        <v>809</v>
      </c>
      <c r="F27" s="2527"/>
      <c r="I27" s="49"/>
      <c r="J27" s="190"/>
      <c r="K27" s="5"/>
    </row>
    <row r="28" spans="2:11" ht="15" thickBot="1">
      <c r="B28" s="2422"/>
      <c r="C28" s="70"/>
      <c r="D28" s="191" t="s">
        <v>528</v>
      </c>
      <c r="E28" s="2538" t="s">
        <v>984</v>
      </c>
      <c r="F28" s="2537"/>
      <c r="I28" s="49"/>
      <c r="J28" s="17"/>
      <c r="K28" s="5"/>
    </row>
    <row r="29" spans="2:11" ht="15" thickBot="1">
      <c r="B29" s="2422"/>
      <c r="C29" s="70"/>
      <c r="D29" s="191" t="s">
        <v>811</v>
      </c>
      <c r="E29" s="2526" t="s">
        <v>985</v>
      </c>
      <c r="F29" s="2527"/>
      <c r="I29" s="49"/>
      <c r="J29" s="17"/>
      <c r="K29" s="5"/>
    </row>
    <row r="30" spans="2:11" ht="18.75" customHeight="1" thickBot="1">
      <c r="B30" s="2422"/>
      <c r="C30" s="70"/>
      <c r="D30" s="191" t="s">
        <v>531</v>
      </c>
      <c r="E30" s="2526" t="s">
        <v>986</v>
      </c>
      <c r="F30" s="2527"/>
      <c r="I30" s="49"/>
      <c r="J30" s="17"/>
      <c r="K30" s="5"/>
    </row>
    <row r="31" spans="2:11" ht="36" customHeight="1" thickBot="1">
      <c r="B31" s="2422"/>
      <c r="C31" s="70"/>
      <c r="D31" s="191" t="s">
        <v>534</v>
      </c>
      <c r="E31" s="2536" t="s">
        <v>987</v>
      </c>
      <c r="F31" s="2537"/>
      <c r="I31" s="49"/>
      <c r="J31" s="17"/>
      <c r="K31" s="5"/>
    </row>
    <row r="32" spans="2:11" ht="15" thickBot="1">
      <c r="B32" s="2422"/>
      <c r="C32" s="70"/>
      <c r="D32" s="191" t="s">
        <v>537</v>
      </c>
      <c r="E32" s="2526" t="s">
        <v>945</v>
      </c>
      <c r="F32" s="2527"/>
      <c r="I32" s="49"/>
      <c r="J32" s="17"/>
      <c r="K32" s="5"/>
    </row>
    <row r="33" spans="2:11" ht="15" thickBot="1">
      <c r="B33" s="2423"/>
      <c r="C33" s="71"/>
      <c r="D33" s="191" t="s">
        <v>815</v>
      </c>
      <c r="E33" s="2526" t="s">
        <v>816</v>
      </c>
      <c r="F33" s="2527"/>
      <c r="I33" s="192"/>
      <c r="J33" s="19"/>
      <c r="K33" s="5"/>
    </row>
    <row r="34" spans="2:11" ht="15" customHeight="1" thickBot="1">
      <c r="B34" s="96" t="s">
        <v>817</v>
      </c>
      <c r="C34" s="97"/>
      <c r="D34" s="97"/>
      <c r="E34" s="97"/>
      <c r="F34" s="97"/>
      <c r="G34" s="97"/>
      <c r="H34" s="97"/>
      <c r="I34" s="100"/>
      <c r="J34" s="101"/>
      <c r="K34" s="5"/>
    </row>
    <row r="35" spans="2:11" ht="14.4" customHeight="1" thickBot="1">
      <c r="B35" s="2421">
        <v>1</v>
      </c>
      <c r="C35" s="67"/>
      <c r="D35" s="193" t="s">
        <v>808</v>
      </c>
      <c r="E35" s="2530" t="s">
        <v>818</v>
      </c>
      <c r="F35" s="2531"/>
      <c r="G35" s="2531"/>
      <c r="H35" s="2531"/>
      <c r="I35" s="2532"/>
      <c r="J35" s="190"/>
      <c r="K35" s="5"/>
    </row>
    <row r="36" spans="2:11" ht="15" thickBot="1">
      <c r="B36" s="2422"/>
      <c r="C36" s="70"/>
      <c r="D36" s="103" t="s">
        <v>528</v>
      </c>
      <c r="E36" s="2533" t="s">
        <v>916</v>
      </c>
      <c r="F36" s="2534"/>
      <c r="G36" s="2534"/>
      <c r="H36" s="2534"/>
      <c r="I36" s="2534"/>
      <c r="J36" s="2535"/>
      <c r="K36" s="5"/>
    </row>
    <row r="37" spans="2:11" ht="15" thickBot="1">
      <c r="B37" s="2422"/>
      <c r="C37" s="70"/>
      <c r="D37" s="103" t="s">
        <v>811</v>
      </c>
      <c r="E37" s="2528"/>
      <c r="F37" s="2529"/>
      <c r="I37" s="49"/>
      <c r="J37" s="17"/>
      <c r="K37" s="5"/>
    </row>
    <row r="38" spans="2:11" ht="15" thickBot="1">
      <c r="B38" s="2422"/>
      <c r="C38" s="70"/>
      <c r="D38" s="103" t="s">
        <v>531</v>
      </c>
      <c r="E38" s="2524"/>
      <c r="F38" s="2525"/>
      <c r="I38" s="49"/>
      <c r="J38" s="17"/>
      <c r="K38" s="5"/>
    </row>
    <row r="39" spans="2:11" ht="15" thickBot="1">
      <c r="B39" s="2422"/>
      <c r="C39" s="70"/>
      <c r="D39" s="103" t="s">
        <v>534</v>
      </c>
      <c r="E39" s="2524"/>
      <c r="F39" s="2525"/>
      <c r="I39" s="49"/>
      <c r="J39" s="17"/>
      <c r="K39" s="5"/>
    </row>
    <row r="40" spans="2:11" ht="15" thickBot="1">
      <c r="B40" s="2422"/>
      <c r="C40" s="70"/>
      <c r="D40" s="103" t="s">
        <v>537</v>
      </c>
      <c r="E40" s="2524"/>
      <c r="F40" s="2525"/>
      <c r="I40" s="49"/>
      <c r="J40" s="17"/>
      <c r="K40" s="5"/>
    </row>
    <row r="41" spans="2:11" ht="15" thickBot="1">
      <c r="B41" s="2423"/>
      <c r="C41" s="71"/>
      <c r="D41" s="103" t="s">
        <v>815</v>
      </c>
      <c r="E41" s="2524"/>
      <c r="F41" s="2525"/>
      <c r="I41" s="192"/>
      <c r="J41" s="19"/>
      <c r="K41" s="5"/>
    </row>
    <row r="42" spans="2:11" ht="15" thickBot="1">
      <c r="B42" s="194"/>
      <c r="C42" s="195"/>
      <c r="D42" s="196"/>
      <c r="E42" s="196"/>
      <c r="F42" s="196"/>
      <c r="G42" s="100"/>
      <c r="H42" s="100"/>
      <c r="I42" s="100"/>
      <c r="J42" s="101"/>
      <c r="K42" s="5"/>
    </row>
    <row r="43" spans="2:11" ht="15" thickBot="1">
      <c r="B43" s="2431" t="s">
        <v>820</v>
      </c>
      <c r="C43" s="2432"/>
      <c r="D43" s="2432"/>
      <c r="E43" s="2432"/>
      <c r="F43" s="2432"/>
      <c r="G43" s="2432"/>
      <c r="H43" s="2432"/>
      <c r="I43" s="2433"/>
      <c r="J43" s="101"/>
      <c r="K43" s="5"/>
    </row>
    <row r="44" spans="2:11" ht="24" customHeight="1" thickBot="1">
      <c r="B44" s="2424" t="s">
        <v>821</v>
      </c>
      <c r="C44" s="2425"/>
      <c r="D44" s="2426"/>
      <c r="E44" s="32" t="s">
        <v>822</v>
      </c>
      <c r="F44" s="2424" t="s">
        <v>823</v>
      </c>
      <c r="G44" s="2426"/>
      <c r="H44" s="2424" t="s">
        <v>824</v>
      </c>
      <c r="I44" s="2426"/>
      <c r="J44" s="91"/>
      <c r="K44" s="5"/>
    </row>
    <row r="45" spans="2:11" ht="108" customHeight="1" thickBot="1">
      <c r="B45" s="2519">
        <v>42401</v>
      </c>
      <c r="C45" s="2520"/>
      <c r="D45" s="2521"/>
      <c r="E45" s="32">
        <v>0.01</v>
      </c>
      <c r="F45" s="2522" t="s">
        <v>988</v>
      </c>
      <c r="G45" s="2523"/>
      <c r="H45" s="2424"/>
      <c r="I45" s="2426"/>
      <c r="J45" s="93"/>
      <c r="K45" s="5"/>
    </row>
    <row r="46" spans="2:11">
      <c r="B46" s="197"/>
      <c r="C46" s="198"/>
      <c r="D46" s="197"/>
      <c r="E46" s="197"/>
      <c r="F46" s="197"/>
      <c r="G46" s="197"/>
      <c r="H46" s="197"/>
      <c r="I46" s="197"/>
      <c r="J46" s="5"/>
      <c r="K46" s="5"/>
    </row>
    <row r="47" spans="2:11" ht="15" thickBot="1">
      <c r="B47" s="1"/>
      <c r="C47" s="63"/>
      <c r="D47" s="5"/>
      <c r="E47" s="5"/>
      <c r="F47" s="5"/>
      <c r="G47" s="5"/>
      <c r="H47" s="5"/>
      <c r="I47" s="5"/>
      <c r="J47" s="5"/>
      <c r="K47" s="5"/>
    </row>
    <row r="48" spans="2:11" ht="15" thickBot="1">
      <c r="B48" s="105" t="s">
        <v>702</v>
      </c>
      <c r="C48" s="74"/>
      <c r="D48" s="5"/>
      <c r="E48" s="5"/>
      <c r="F48" s="5"/>
      <c r="G48" s="5"/>
      <c r="H48" s="5"/>
      <c r="I48" s="5"/>
      <c r="J48" s="5"/>
      <c r="K48" s="5"/>
    </row>
    <row r="49" spans="2:11" ht="8.25" customHeight="1">
      <c r="B49" s="2513"/>
      <c r="C49" s="2514"/>
      <c r="D49" s="2514"/>
      <c r="E49" s="2514"/>
      <c r="F49" s="2514"/>
      <c r="G49" s="2514"/>
      <c r="H49" s="2514"/>
      <c r="I49" s="2514"/>
      <c r="J49" s="2515"/>
      <c r="K49" s="5"/>
    </row>
    <row r="50" spans="2:11" ht="5.25" customHeight="1" thickBot="1">
      <c r="B50" s="2516"/>
      <c r="C50" s="2517"/>
      <c r="D50" s="2517"/>
      <c r="E50" s="2517"/>
      <c r="F50" s="2517"/>
      <c r="G50" s="2517"/>
      <c r="H50" s="2517"/>
      <c r="I50" s="2517"/>
      <c r="J50" s="2518"/>
      <c r="K50" s="5"/>
    </row>
    <row r="51" spans="2:11" ht="15" thickBot="1">
      <c r="B51" s="5"/>
      <c r="D51" s="5"/>
      <c r="E51" s="5"/>
      <c r="F51" s="5"/>
      <c r="G51" s="5"/>
      <c r="H51" s="5"/>
      <c r="I51" s="5"/>
      <c r="J51" s="5"/>
      <c r="K51" s="5"/>
    </row>
    <row r="52" spans="2:11" ht="24.6" thickBot="1">
      <c r="B52" s="41" t="s">
        <v>826</v>
      </c>
      <c r="C52" s="75"/>
      <c r="D52" s="5"/>
      <c r="E52" s="5"/>
      <c r="F52" s="5"/>
      <c r="G52" s="5"/>
      <c r="H52" s="5"/>
      <c r="I52" s="5"/>
      <c r="J52" s="5"/>
      <c r="K52" s="5"/>
    </row>
    <row r="53" spans="2:11" ht="15" thickBot="1">
      <c r="B53" s="1"/>
      <c r="C53" s="63"/>
      <c r="D53" s="5"/>
      <c r="E53" s="5"/>
      <c r="F53" s="5"/>
      <c r="G53" s="5"/>
      <c r="H53" s="5"/>
      <c r="I53" s="5"/>
      <c r="J53" s="5"/>
      <c r="K53" s="5"/>
    </row>
    <row r="54" spans="2:11" ht="60.6" thickBot="1">
      <c r="B54" s="42" t="s">
        <v>827</v>
      </c>
      <c r="C54" s="76"/>
      <c r="D54" s="34" t="s">
        <v>989</v>
      </c>
      <c r="E54" s="5"/>
      <c r="F54" s="5"/>
      <c r="G54" s="5"/>
      <c r="H54" s="5"/>
      <c r="I54" s="5"/>
      <c r="J54" s="5"/>
      <c r="K54" s="5"/>
    </row>
    <row r="55" spans="2:11">
      <c r="B55" s="2421" t="s">
        <v>829</v>
      </c>
      <c r="C55" s="72"/>
      <c r="D55" s="43" t="s">
        <v>830</v>
      </c>
      <c r="E55" s="5"/>
      <c r="F55" s="5"/>
      <c r="G55" s="5"/>
      <c r="H55" s="5"/>
      <c r="I55" s="5"/>
      <c r="J55" s="5"/>
      <c r="K55" s="5"/>
    </row>
    <row r="56" spans="2:11" ht="60">
      <c r="B56" s="2422"/>
      <c r="C56" s="72"/>
      <c r="D56" s="36" t="s">
        <v>990</v>
      </c>
      <c r="E56" s="5"/>
      <c r="F56" s="5"/>
      <c r="G56" s="5"/>
      <c r="H56" s="5"/>
      <c r="I56" s="5"/>
      <c r="J56" s="5"/>
      <c r="K56" s="5"/>
    </row>
    <row r="57" spans="2:11">
      <c r="B57" s="2422"/>
      <c r="C57" s="72"/>
      <c r="D57" s="43" t="s">
        <v>920</v>
      </c>
      <c r="E57" s="5"/>
      <c r="F57" s="5"/>
      <c r="G57" s="5"/>
      <c r="H57" s="5"/>
      <c r="I57" s="5"/>
      <c r="J57" s="5"/>
      <c r="K57" s="5"/>
    </row>
    <row r="58" spans="2:11">
      <c r="B58" s="2422"/>
      <c r="C58" s="72"/>
      <c r="D58" s="36" t="s">
        <v>834</v>
      </c>
      <c r="E58" s="5"/>
      <c r="F58" s="5"/>
      <c r="G58" s="5"/>
      <c r="H58" s="5"/>
      <c r="I58" s="5"/>
      <c r="J58" s="5"/>
      <c r="K58" s="5"/>
    </row>
    <row r="59" spans="2:11">
      <c r="B59" s="2422"/>
      <c r="C59" s="72"/>
      <c r="D59" s="36" t="s">
        <v>949</v>
      </c>
      <c r="E59" s="5"/>
      <c r="F59" s="5"/>
      <c r="G59" s="5"/>
      <c r="H59" s="5"/>
      <c r="I59" s="5"/>
      <c r="J59" s="5"/>
      <c r="K59" s="5"/>
    </row>
    <row r="60" spans="2:11">
      <c r="B60" s="2422"/>
      <c r="C60" s="72"/>
      <c r="D60" s="36" t="s">
        <v>991</v>
      </c>
      <c r="E60" s="5"/>
      <c r="F60" s="5"/>
      <c r="G60" s="5"/>
      <c r="H60" s="5"/>
      <c r="I60" s="5"/>
      <c r="J60" s="5"/>
      <c r="K60" s="5"/>
    </row>
    <row r="61" spans="2:11">
      <c r="B61" s="2422"/>
      <c r="C61" s="72"/>
      <c r="D61" s="36" t="s">
        <v>992</v>
      </c>
      <c r="E61" s="5"/>
      <c r="F61" s="5"/>
      <c r="G61" s="5"/>
      <c r="H61" s="5"/>
      <c r="I61" s="5"/>
      <c r="J61" s="5"/>
      <c r="K61" s="5"/>
    </row>
    <row r="62" spans="2:11" ht="24">
      <c r="B62" s="2422"/>
      <c r="C62" s="72"/>
      <c r="D62" s="36" t="s">
        <v>993</v>
      </c>
      <c r="E62" s="5"/>
      <c r="F62" s="5"/>
      <c r="G62" s="5"/>
      <c r="H62" s="5"/>
      <c r="I62" s="5"/>
      <c r="J62" s="5"/>
      <c r="K62" s="5"/>
    </row>
    <row r="63" spans="2:11">
      <c r="B63" s="2422"/>
      <c r="C63" s="72"/>
      <c r="D63" s="43" t="s">
        <v>927</v>
      </c>
      <c r="E63" s="5"/>
      <c r="F63" s="5"/>
      <c r="G63" s="5"/>
      <c r="H63" s="5"/>
      <c r="I63" s="5"/>
      <c r="J63" s="5"/>
      <c r="K63" s="5"/>
    </row>
    <row r="64" spans="2:11" ht="15" thickBot="1">
      <c r="B64" s="2423"/>
      <c r="C64" s="2"/>
      <c r="D64" s="57"/>
      <c r="E64" s="5"/>
      <c r="F64" s="5"/>
      <c r="G64" s="5"/>
      <c r="H64" s="5"/>
      <c r="I64" s="5"/>
      <c r="J64" s="5"/>
      <c r="K64" s="5"/>
    </row>
    <row r="65" spans="2:11" ht="24.6" thickBot="1">
      <c r="B65" s="37" t="s">
        <v>842</v>
      </c>
      <c r="C65" s="2"/>
      <c r="D65" s="32"/>
      <c r="E65" s="5"/>
      <c r="F65" s="5"/>
      <c r="G65" s="5"/>
      <c r="H65" s="5"/>
      <c r="I65" s="5"/>
      <c r="J65" s="5"/>
      <c r="K65" s="5"/>
    </row>
    <row r="66" spans="2:11" ht="132">
      <c r="B66" s="2421" t="s">
        <v>843</v>
      </c>
      <c r="C66" s="72"/>
      <c r="D66" s="36" t="s">
        <v>994</v>
      </c>
      <c r="E66" s="5"/>
      <c r="F66" s="5"/>
      <c r="G66" s="5"/>
      <c r="H66" s="5"/>
      <c r="I66" s="5"/>
      <c r="J66" s="5"/>
      <c r="K66" s="5"/>
    </row>
    <row r="67" spans="2:11" ht="108">
      <c r="B67" s="2422"/>
      <c r="C67" s="72"/>
      <c r="D67" s="36" t="s">
        <v>995</v>
      </c>
      <c r="E67" s="5"/>
      <c r="F67" s="5"/>
      <c r="G67" s="5"/>
      <c r="H67" s="5"/>
      <c r="I67" s="5"/>
      <c r="J67" s="5"/>
      <c r="K67" s="5"/>
    </row>
    <row r="68" spans="2:11" ht="192">
      <c r="B68" s="2422"/>
      <c r="C68" s="72"/>
      <c r="D68" s="36" t="s">
        <v>996</v>
      </c>
      <c r="E68" s="5"/>
      <c r="F68" s="5"/>
      <c r="G68" s="5"/>
      <c r="H68" s="5"/>
      <c r="I68" s="5"/>
      <c r="J68" s="5"/>
      <c r="K68" s="5"/>
    </row>
    <row r="69" spans="2:11" ht="60">
      <c r="B69" s="2422"/>
      <c r="C69" s="72"/>
      <c r="D69" s="36" t="s">
        <v>997</v>
      </c>
      <c r="E69" s="5"/>
      <c r="F69" s="5"/>
      <c r="G69" s="5"/>
      <c r="H69" s="5"/>
      <c r="I69" s="5"/>
      <c r="J69" s="5"/>
      <c r="K69" s="5"/>
    </row>
    <row r="70" spans="2:11" ht="15" thickBot="1">
      <c r="B70" s="2423"/>
      <c r="C70" s="2"/>
      <c r="D70" s="32"/>
      <c r="E70" s="5"/>
      <c r="F70" s="5"/>
      <c r="G70" s="5"/>
      <c r="H70" s="5"/>
      <c r="I70" s="5"/>
      <c r="J70" s="5"/>
      <c r="K70" s="5"/>
    </row>
    <row r="71" spans="2:11">
      <c r="B71" s="2421" t="s">
        <v>860</v>
      </c>
      <c r="C71" s="72"/>
      <c r="D71" s="36"/>
      <c r="E71" s="5"/>
      <c r="F71" s="5"/>
      <c r="G71" s="5"/>
      <c r="H71" s="5"/>
      <c r="I71" s="5"/>
      <c r="J71" s="5"/>
      <c r="K71" s="5"/>
    </row>
    <row r="72" spans="2:11">
      <c r="B72" s="2422"/>
      <c r="C72" s="72"/>
      <c r="D72" s="13"/>
      <c r="E72" s="5"/>
      <c r="F72" s="5"/>
      <c r="G72" s="5"/>
      <c r="H72" s="5"/>
      <c r="I72" s="5"/>
      <c r="J72" s="5"/>
      <c r="K72" s="5"/>
    </row>
    <row r="73" spans="2:11">
      <c r="B73" s="2422"/>
      <c r="C73" s="72"/>
      <c r="D73" s="36" t="s">
        <v>861</v>
      </c>
      <c r="E73" s="5"/>
      <c r="F73" s="5"/>
      <c r="G73" s="5"/>
      <c r="H73" s="5"/>
      <c r="I73" s="5"/>
      <c r="J73" s="5"/>
      <c r="K73" s="5"/>
    </row>
    <row r="74" spans="2:11" ht="38.4">
      <c r="B74" s="2422"/>
      <c r="C74" s="72"/>
      <c r="D74" s="36" t="s">
        <v>998</v>
      </c>
      <c r="E74" s="5"/>
      <c r="F74" s="5"/>
      <c r="G74" s="5"/>
      <c r="H74" s="5"/>
      <c r="I74" s="5"/>
      <c r="J74" s="5"/>
      <c r="K74" s="5"/>
    </row>
    <row r="75" spans="2:11" ht="38.4">
      <c r="B75" s="2422"/>
      <c r="C75" s="72"/>
      <c r="D75" s="36" t="s">
        <v>999</v>
      </c>
      <c r="E75" s="5"/>
      <c r="F75" s="5"/>
      <c r="G75" s="5"/>
      <c r="H75" s="5"/>
      <c r="I75" s="5"/>
      <c r="J75" s="5"/>
      <c r="K75" s="5"/>
    </row>
    <row r="76" spans="2:11" ht="38.4">
      <c r="B76" s="2422"/>
      <c r="C76" s="72"/>
      <c r="D76" s="36" t="s">
        <v>1000</v>
      </c>
      <c r="E76" s="5"/>
      <c r="F76" s="5"/>
      <c r="G76" s="5"/>
      <c r="H76" s="5"/>
      <c r="I76" s="5"/>
      <c r="J76" s="5"/>
      <c r="K76" s="5"/>
    </row>
    <row r="77" spans="2:11" ht="48.6" thickBot="1">
      <c r="B77" s="2423"/>
      <c r="C77" s="2"/>
      <c r="D77" s="32" t="s">
        <v>1001</v>
      </c>
      <c r="E77" s="5"/>
      <c r="F77" s="5"/>
      <c r="G77" s="5"/>
      <c r="H77" s="5"/>
      <c r="I77" s="5"/>
      <c r="J77" s="5"/>
      <c r="K77" s="5"/>
    </row>
  </sheetData>
  <sheetProtection insertColumns="0" insertRows="0"/>
  <mergeCells count="45">
    <mergeCell ref="I19:J19"/>
    <mergeCell ref="I22:J22"/>
    <mergeCell ref="B10:D10"/>
    <mergeCell ref="F10:S10"/>
    <mergeCell ref="F11:S11"/>
    <mergeCell ref="E12:R12"/>
    <mergeCell ref="E13:R13"/>
    <mergeCell ref="I20:J21"/>
    <mergeCell ref="B55:B64"/>
    <mergeCell ref="B66:B70"/>
    <mergeCell ref="B71:B77"/>
    <mergeCell ref="B15:B22"/>
    <mergeCell ref="D15:J15"/>
    <mergeCell ref="D18:J18"/>
    <mergeCell ref="E30:F30"/>
    <mergeCell ref="E31:F31"/>
    <mergeCell ref="E32:F32"/>
    <mergeCell ref="D23:J23"/>
    <mergeCell ref="D24:J24"/>
    <mergeCell ref="E27:F27"/>
    <mergeCell ref="E28:F28"/>
    <mergeCell ref="E29:F29"/>
    <mergeCell ref="E38:F38"/>
    <mergeCell ref="E39:F39"/>
    <mergeCell ref="E40:F40"/>
    <mergeCell ref="E33:F33"/>
    <mergeCell ref="B35:B41"/>
    <mergeCell ref="E37:F37"/>
    <mergeCell ref="B27:B33"/>
    <mergeCell ref="E35:I35"/>
    <mergeCell ref="E36:J36"/>
    <mergeCell ref="B49:J50"/>
    <mergeCell ref="B45:D45"/>
    <mergeCell ref="F45:G45"/>
    <mergeCell ref="H45:I45"/>
    <mergeCell ref="E41:F41"/>
    <mergeCell ref="B43:I43"/>
    <mergeCell ref="B44:D44"/>
    <mergeCell ref="F44:G44"/>
    <mergeCell ref="H44:I44"/>
    <mergeCell ref="A1:P1"/>
    <mergeCell ref="A2:P2"/>
    <mergeCell ref="A3:P3"/>
    <mergeCell ref="A4:D4"/>
    <mergeCell ref="A5:P5"/>
  </mergeCells>
  <conditionalFormatting sqref="E12:R12">
    <cfRule type="expression" dxfId="109" priority="1">
      <formula>E11="SI SE REPORTA"</formula>
    </cfRule>
  </conditionalFormatting>
  <conditionalFormatting sqref="F10">
    <cfRule type="notContainsBlanks" dxfId="108" priority="4">
      <formula>LEN(TRIM(F10))&gt;0</formula>
    </cfRule>
  </conditionalFormatting>
  <conditionalFormatting sqref="F11:S11">
    <cfRule type="expression" dxfId="107" priority="2">
      <formula>E11="NO SE REPORTA"</formula>
    </cfRule>
    <cfRule type="expression" dxfId="106"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5157CF8D-8DA3-4612-B311-26D97B32ADA9}">
      <formula1>0</formula1>
    </dataValidation>
    <dataValidation type="list" allowBlank="1" showInputMessage="1" showErrorMessage="1" sqref="E11" xr:uid="{29A06B47-2C20-455B-9EFA-C0050F862D7C}">
      <formula1>REPORTE</formula1>
    </dataValidation>
    <dataValidation type="list" allowBlank="1" showInputMessage="1" showErrorMessage="1" sqref="E10" xr:uid="{3250C70D-22A1-437F-9BC8-8121780A47B7}">
      <formula1>SI</formula1>
    </dataValidation>
  </dataValidations>
  <hyperlinks>
    <hyperlink ref="B9" location="'ANEXO 3'!A1" display="VOLVER AL INDICE" xr:uid="{7735D72D-322A-4B0E-BC73-30F92CA87919}"/>
    <hyperlink ref="E31" r:id="rId1" display="jrestrepo@crautonoma.gov.co" xr:uid="{1EE92C5E-E23D-4D44-AB56-8293382B89BD}"/>
  </hyperlinks>
  <pageMargins left="0.25" right="0.25" top="0.75" bottom="0.75" header="0.3" footer="0.3"/>
  <pageSetup paperSize="178" orientation="landscape" horizontalDpi="1200" verticalDpi="1200"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dimension ref="A1:U109"/>
  <sheetViews>
    <sheetView topLeftCell="E25" workbookViewId="0">
      <selection activeCell="J34" sqref="J34"/>
    </sheetView>
  </sheetViews>
  <sheetFormatPr baseColWidth="10" defaultColWidth="11.44140625" defaultRowHeight="14.4"/>
  <cols>
    <col min="1" max="1" width="1.88671875" customWidth="1"/>
    <col min="2" max="2" width="12.88671875" customWidth="1"/>
    <col min="3" max="3" width="7.44140625" style="65" customWidth="1"/>
    <col min="4" max="4" width="40.44140625" customWidth="1"/>
    <col min="5" max="5" width="24.6640625" customWidth="1"/>
    <col min="6" max="6" width="18.44140625" customWidth="1"/>
    <col min="7" max="7" width="17.109375" customWidth="1"/>
    <col min="8" max="8" width="15.44140625" customWidth="1"/>
    <col min="9" max="9" width="17.44140625" customWidth="1"/>
    <col min="10" max="10" width="127.886718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11</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539">
        <v>2025</v>
      </c>
      <c r="D8" s="164">
        <f>IF(E10="NO APLICA","NO APLICA",IF(E11="NO SE REPORTA","SIN INFORMACION",))+F24</f>
        <v>1</v>
      </c>
      <c r="E8" s="161"/>
      <c r="F8" s="5" t="s">
        <v>740</v>
      </c>
      <c r="G8" s="5"/>
      <c r="H8" s="5"/>
      <c r="I8" s="5"/>
      <c r="J8" s="5"/>
      <c r="K8" s="5"/>
    </row>
    <row r="9" spans="1:21">
      <c r="B9" s="290" t="s">
        <v>741</v>
      </c>
      <c r="C9" s="66"/>
      <c r="D9" s="5"/>
      <c r="E9" s="5"/>
      <c r="F9" s="5"/>
      <c r="G9" s="5"/>
      <c r="H9" s="5"/>
      <c r="I9" s="5"/>
      <c r="J9" s="5"/>
      <c r="K9" s="5"/>
    </row>
    <row r="10" spans="1:21" ht="18.75" customHeight="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8.75"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72.75" customHeight="1">
      <c r="B12" s="290"/>
      <c r="C12" s="66"/>
      <c r="D12" s="141" t="str">
        <f>IF(E11="SI SE REPORTA","¿Qué programas o proyectos del Plan de Acción están asociados al indicador? ","")</f>
        <v xml:space="preserve">¿Qué programas o proyectos del Plan de Acción están asociados al indicador? </v>
      </c>
      <c r="E12" s="2547" t="s">
        <v>1002</v>
      </c>
      <c r="F12" s="2547"/>
      <c r="G12" s="2547"/>
      <c r="H12" s="2547"/>
      <c r="I12" s="2547"/>
      <c r="J12" s="2547"/>
      <c r="K12" s="2547"/>
      <c r="L12" s="2547"/>
      <c r="M12" s="2547"/>
      <c r="N12" s="2547"/>
      <c r="O12" s="2547"/>
      <c r="P12" s="2547"/>
      <c r="Q12" s="2547"/>
      <c r="R12" s="2547"/>
    </row>
    <row r="13" spans="1:21" ht="21.9" customHeight="1">
      <c r="B13" s="290"/>
      <c r="C13" s="66"/>
      <c r="D13" s="141" t="s">
        <v>746</v>
      </c>
      <c r="E13" s="2501"/>
      <c r="F13" s="2502"/>
      <c r="G13" s="2502"/>
      <c r="H13" s="2502"/>
      <c r="I13" s="2502"/>
      <c r="J13" s="2502"/>
      <c r="K13" s="2502"/>
      <c r="L13" s="2502"/>
      <c r="M13" s="2502"/>
      <c r="N13" s="2502"/>
      <c r="O13" s="2502"/>
      <c r="P13" s="2502"/>
      <c r="Q13" s="2502"/>
      <c r="R13" s="2503"/>
    </row>
    <row r="14" spans="1:21" ht="6.9" customHeight="1" thickBot="1">
      <c r="B14" s="290"/>
      <c r="C14" s="66"/>
      <c r="D14" s="5"/>
      <c r="E14" s="5"/>
      <c r="F14" s="5"/>
      <c r="G14" s="5"/>
      <c r="H14" s="5"/>
      <c r="I14" s="5"/>
      <c r="J14" s="5"/>
      <c r="K14" s="5"/>
    </row>
    <row r="15" spans="1:21" ht="15" customHeight="1" thickTop="1">
      <c r="B15" s="2548" t="s">
        <v>747</v>
      </c>
      <c r="C15" s="67"/>
      <c r="D15" s="2412" t="s">
        <v>748</v>
      </c>
      <c r="E15" s="2413"/>
      <c r="F15" s="2413"/>
      <c r="G15" s="2413"/>
      <c r="H15" s="2413"/>
      <c r="I15" s="2413"/>
      <c r="J15" s="2413"/>
      <c r="K15" s="2414"/>
    </row>
    <row r="16" spans="1:21" ht="15" thickBot="1">
      <c r="B16" s="2453"/>
      <c r="C16" s="70"/>
      <c r="D16" s="2415" t="s">
        <v>1003</v>
      </c>
      <c r="E16" s="2416"/>
      <c r="F16" s="2416"/>
      <c r="G16" s="2416"/>
      <c r="H16" s="2416"/>
      <c r="I16" s="2416"/>
      <c r="J16" s="2416"/>
      <c r="K16" s="2417"/>
    </row>
    <row r="17" spans="2:11" ht="20.25" customHeight="1" thickBot="1">
      <c r="B17" s="2453"/>
      <c r="C17" s="76" t="s">
        <v>698</v>
      </c>
      <c r="D17" s="30" t="s">
        <v>1004</v>
      </c>
      <c r="E17" s="718" t="s">
        <v>798</v>
      </c>
      <c r="F17" s="68" t="s">
        <v>593</v>
      </c>
      <c r="G17" s="68" t="s">
        <v>594</v>
      </c>
      <c r="H17" s="68" t="s">
        <v>595</v>
      </c>
      <c r="I17" s="171"/>
      <c r="K17" s="17"/>
    </row>
    <row r="18" spans="2:11" ht="30" customHeight="1" thickBot="1">
      <c r="B18" s="2453"/>
      <c r="C18" s="2" t="s">
        <v>906</v>
      </c>
      <c r="D18" s="31" t="s">
        <v>1005</v>
      </c>
      <c r="E18" s="429">
        <v>3</v>
      </c>
      <c r="F18" s="157">
        <v>3</v>
      </c>
      <c r="G18" s="157">
        <v>3</v>
      </c>
      <c r="H18" s="157">
        <v>3</v>
      </c>
      <c r="I18" s="203"/>
      <c r="J18" s="615"/>
      <c r="K18" s="17"/>
    </row>
    <row r="19" spans="2:11" ht="23.25" customHeight="1" thickBot="1">
      <c r="B19" s="2453"/>
      <c r="C19" s="2" t="s">
        <v>908</v>
      </c>
      <c r="D19" s="31" t="s">
        <v>1006</v>
      </c>
      <c r="E19" s="429">
        <v>2</v>
      </c>
      <c r="F19" s="157">
        <v>3</v>
      </c>
      <c r="G19" s="157">
        <v>3</v>
      </c>
      <c r="H19" s="157">
        <v>3</v>
      </c>
      <c r="I19" s="203"/>
      <c r="J19" s="708"/>
      <c r="K19" s="17"/>
    </row>
    <row r="20" spans="2:11" ht="21.75" customHeight="1" thickBot="1">
      <c r="B20" s="2453"/>
      <c r="C20" s="2" t="s">
        <v>910</v>
      </c>
      <c r="D20" s="31" t="s">
        <v>1007</v>
      </c>
      <c r="E20" s="429">
        <v>0</v>
      </c>
      <c r="F20" s="157">
        <v>1</v>
      </c>
      <c r="G20" s="157">
        <v>0</v>
      </c>
      <c r="H20" s="157">
        <v>0</v>
      </c>
      <c r="I20" s="203"/>
      <c r="J20" s="492"/>
      <c r="K20" s="17"/>
    </row>
    <row r="21" spans="2:11" ht="22.5" customHeight="1" thickBot="1">
      <c r="B21" s="2453"/>
      <c r="C21" s="2" t="s">
        <v>1008</v>
      </c>
      <c r="D21" s="31" t="s">
        <v>1009</v>
      </c>
      <c r="E21" s="157">
        <v>0</v>
      </c>
      <c r="F21" s="157">
        <v>0</v>
      </c>
      <c r="G21" s="157">
        <v>1</v>
      </c>
      <c r="H21" s="157">
        <v>1</v>
      </c>
      <c r="I21" s="203"/>
      <c r="K21" s="17"/>
    </row>
    <row r="22" spans="2:11" ht="20.25" customHeight="1" thickBot="1">
      <c r="B22" s="2453"/>
      <c r="C22" s="2" t="s">
        <v>1010</v>
      </c>
      <c r="D22" s="31" t="s">
        <v>1011</v>
      </c>
      <c r="E22" s="157">
        <v>0</v>
      </c>
      <c r="F22" s="157">
        <v>0</v>
      </c>
      <c r="G22" s="157">
        <v>0</v>
      </c>
      <c r="H22" s="157">
        <v>0</v>
      </c>
      <c r="I22" s="203"/>
      <c r="K22" s="17"/>
    </row>
    <row r="23" spans="2:11" ht="22.5" customHeight="1" thickBot="1">
      <c r="B23" s="2453"/>
      <c r="C23" s="2" t="s">
        <v>1012</v>
      </c>
      <c r="D23" s="31" t="s">
        <v>1013</v>
      </c>
      <c r="E23" s="157">
        <v>0</v>
      </c>
      <c r="F23" s="157">
        <v>0</v>
      </c>
      <c r="G23" s="157">
        <v>0</v>
      </c>
      <c r="H23" s="157">
        <v>0</v>
      </c>
      <c r="I23" s="203"/>
      <c r="K23" s="17"/>
    </row>
    <row r="24" spans="2:11" ht="18" customHeight="1" thickBot="1">
      <c r="B24" s="2453"/>
      <c r="C24" s="2" t="s">
        <v>1014</v>
      </c>
      <c r="D24" s="31" t="s">
        <v>1015</v>
      </c>
      <c r="E24" s="145">
        <f>IFERROR(E19/E18,"N.A.")</f>
        <v>0.66666666666666663</v>
      </c>
      <c r="F24" s="145">
        <f>IFERROR(F19/F18,"N.A.")</f>
        <v>1</v>
      </c>
      <c r="G24" s="145">
        <f>IFERROR(G19/G18,"N.A.")</f>
        <v>1</v>
      </c>
      <c r="H24" s="145">
        <f>IFERROR(H19/H18,"N.A.")</f>
        <v>1</v>
      </c>
      <c r="I24" s="185"/>
      <c r="K24" s="17"/>
    </row>
    <row r="25" spans="2:11" ht="23.25" customHeight="1" thickBot="1">
      <c r="B25" s="2453"/>
      <c r="C25" s="2" t="s">
        <v>1016</v>
      </c>
      <c r="D25" s="31" t="s">
        <v>1017</v>
      </c>
      <c r="E25" s="145" t="str">
        <f>IFERROR(E21/E20,"N.A.")</f>
        <v>N.A.</v>
      </c>
      <c r="F25" s="145">
        <f>IFERROR(F21/F20,"N.A.")</f>
        <v>0</v>
      </c>
      <c r="G25" s="145" t="str">
        <f>IFERROR(G21/G20,"N.A.")</f>
        <v>N.A.</v>
      </c>
      <c r="H25" s="145" t="str">
        <f>IFERROR(H21/H20,"N.A.")</f>
        <v>N.A.</v>
      </c>
      <c r="I25" s="185"/>
      <c r="K25" s="17"/>
    </row>
    <row r="26" spans="2:11" ht="20.25" customHeight="1" thickBot="1">
      <c r="B26" s="2453"/>
      <c r="C26" s="2" t="s">
        <v>1018</v>
      </c>
      <c r="D26" s="31" t="s">
        <v>1019</v>
      </c>
      <c r="E26" s="145" t="str">
        <f>IFERROR(E23/E22,"N.A.")</f>
        <v>N.A.</v>
      </c>
      <c r="F26" s="145" t="str">
        <f>IFERROR(F23/F22,"N.A.")</f>
        <v>N.A.</v>
      </c>
      <c r="G26" s="145" t="str">
        <f>IFERROR(G23/G22,"N.A.")</f>
        <v>N.A.</v>
      </c>
      <c r="H26" s="145" t="str">
        <f>IFERROR(H23/H22,"N.A.")</f>
        <v>N.A.</v>
      </c>
      <c r="I26" s="185"/>
      <c r="K26" s="17"/>
    </row>
    <row r="27" spans="2:11" ht="15" thickBot="1">
      <c r="B27" s="200"/>
      <c r="C27" s="79"/>
      <c r="D27" s="201" t="s">
        <v>1020</v>
      </c>
      <c r="E27" s="145">
        <f>IFERROR(AVERAGE(E24:E26),"N.A.")</f>
        <v>0.66666666666666663</v>
      </c>
      <c r="F27" s="145">
        <f>IFERROR(AVERAGE(F24:F26),"N.A.")</f>
        <v>0.5</v>
      </c>
      <c r="G27" s="145">
        <f>IFERROR(AVERAGE(G24:G26),"N.A.")</f>
        <v>1</v>
      </c>
      <c r="H27" s="145">
        <f>IFERROR(AVERAGE(H24:H26),"N.A.")</f>
        <v>1</v>
      </c>
      <c r="I27" s="185"/>
      <c r="K27" s="17"/>
    </row>
    <row r="28" spans="2:11">
      <c r="B28" s="168"/>
      <c r="C28" s="70"/>
      <c r="D28" s="2403"/>
      <c r="E28" s="2404"/>
      <c r="F28" s="2404"/>
      <c r="G28" s="2404"/>
      <c r="H28" s="2404"/>
      <c r="I28" s="2404"/>
      <c r="J28" s="2404"/>
      <c r="K28" s="2405"/>
    </row>
    <row r="29" spans="2:11">
      <c r="B29" s="168"/>
      <c r="C29" s="70"/>
      <c r="D29" s="2415" t="s">
        <v>1021</v>
      </c>
      <c r="E29" s="2416"/>
      <c r="F29" s="2416"/>
      <c r="G29" s="2416"/>
      <c r="H29" s="2416"/>
      <c r="I29" s="2416"/>
      <c r="J29" s="2416"/>
      <c r="K29" s="2417"/>
    </row>
    <row r="30" spans="2:11" ht="15" thickBot="1">
      <c r="B30" s="168"/>
      <c r="C30" s="70"/>
      <c r="D30" s="2406" t="s">
        <v>1022</v>
      </c>
      <c r="E30" s="2407"/>
      <c r="F30" s="2407"/>
      <c r="G30" s="2407"/>
      <c r="H30" s="2407"/>
      <c r="I30" s="2407"/>
      <c r="J30" s="2407"/>
      <c r="K30" s="2408"/>
    </row>
    <row r="31" spans="2:11" ht="27" customHeight="1" thickBot="1">
      <c r="B31" s="168"/>
      <c r="C31" s="76" t="s">
        <v>698</v>
      </c>
      <c r="D31" s="634" t="s">
        <v>1023</v>
      </c>
      <c r="E31" s="634" t="s">
        <v>1024</v>
      </c>
      <c r="F31" s="634" t="s">
        <v>1025</v>
      </c>
      <c r="G31" s="634" t="s">
        <v>1026</v>
      </c>
      <c r="H31" s="634" t="s">
        <v>1027</v>
      </c>
      <c r="I31" s="634" t="s">
        <v>1028</v>
      </c>
      <c r="J31" s="634" t="s">
        <v>702</v>
      </c>
      <c r="K31" s="91"/>
    </row>
    <row r="32" spans="2:11" ht="90" customHeight="1" thickBot="1">
      <c r="B32" s="168"/>
      <c r="C32" s="2">
        <v>1</v>
      </c>
      <c r="D32" s="778" t="s">
        <v>1029</v>
      </c>
      <c r="E32" s="779" t="s">
        <v>767</v>
      </c>
      <c r="F32" s="674"/>
      <c r="G32" s="674"/>
      <c r="H32" s="674"/>
      <c r="I32" s="674"/>
      <c r="J32" s="831" t="s">
        <v>1030</v>
      </c>
      <c r="K32" s="92"/>
    </row>
    <row r="33" spans="2:11" s="148" customFormat="1" ht="84" customHeight="1" thickBot="1">
      <c r="B33" s="165"/>
      <c r="C33" s="444">
        <v>2</v>
      </c>
      <c r="D33" s="778" t="s">
        <v>1031</v>
      </c>
      <c r="E33" s="780" t="s">
        <v>767</v>
      </c>
      <c r="F33" s="674"/>
      <c r="G33" s="674"/>
      <c r="H33" s="674"/>
      <c r="I33" s="674"/>
      <c r="J33" s="807" t="s">
        <v>1032</v>
      </c>
      <c r="K33" s="89"/>
    </row>
    <row r="34" spans="2:11" s="148" customFormat="1" ht="93" customHeight="1" thickBot="1">
      <c r="B34" s="165"/>
      <c r="C34" s="444">
        <v>3</v>
      </c>
      <c r="D34" s="493" t="s">
        <v>1033</v>
      </c>
      <c r="E34" s="781" t="s">
        <v>776</v>
      </c>
      <c r="F34" s="674"/>
      <c r="G34" s="674"/>
      <c r="H34" s="674"/>
      <c r="I34" s="674"/>
      <c r="J34" s="962" t="s">
        <v>2137</v>
      </c>
      <c r="K34" s="89"/>
    </row>
    <row r="35" spans="2:11" ht="24.75" customHeight="1" thickBot="1">
      <c r="B35" s="168"/>
      <c r="C35" s="2"/>
      <c r="D35" s="4" t="s">
        <v>905</v>
      </c>
      <c r="E35" s="58"/>
      <c r="F35" s="635">
        <f>SUM(F33:F34)</f>
        <v>0</v>
      </c>
      <c r="G35" s="635">
        <f>SUM(G33:G34)</f>
        <v>0</v>
      </c>
      <c r="H35" s="635">
        <f>SUM(H33:H34)</f>
        <v>0</v>
      </c>
      <c r="I35" s="635">
        <f>SUM(I33:I34)</f>
        <v>0</v>
      </c>
      <c r="J35" s="636"/>
      <c r="K35" s="93"/>
    </row>
    <row r="36" spans="2:11" ht="15" thickBot="1">
      <c r="B36" s="37"/>
      <c r="C36" s="71"/>
      <c r="D36" s="2424" t="s">
        <v>1034</v>
      </c>
      <c r="E36" s="2425"/>
      <c r="F36" s="2425"/>
      <c r="G36" s="2425"/>
      <c r="H36" s="2425"/>
      <c r="I36" s="2425"/>
      <c r="J36" s="2425"/>
      <c r="K36" s="2426"/>
    </row>
    <row r="37" spans="2:11" ht="36" customHeight="1" thickBot="1">
      <c r="B37" s="60" t="s">
        <v>803</v>
      </c>
      <c r="C37" s="85"/>
      <c r="D37" s="2424" t="s">
        <v>1035</v>
      </c>
      <c r="E37" s="2425"/>
      <c r="F37" s="2425"/>
      <c r="G37" s="2425"/>
      <c r="H37" s="2425"/>
      <c r="I37" s="2425"/>
      <c r="J37" s="2425"/>
      <c r="K37" s="2426"/>
    </row>
    <row r="38" spans="2:11" ht="21" thickBot="1">
      <c r="B38" s="60" t="s">
        <v>805</v>
      </c>
      <c r="C38" s="85"/>
      <c r="D38" s="2424" t="s">
        <v>1036</v>
      </c>
      <c r="E38" s="2425"/>
      <c r="F38" s="2425"/>
      <c r="G38" s="2425"/>
      <c r="H38" s="2425"/>
      <c r="I38" s="2425"/>
      <c r="J38" s="2425"/>
      <c r="K38" s="2426"/>
    </row>
    <row r="39" spans="2:11" ht="15" thickBot="1">
      <c r="B39" s="1"/>
      <c r="C39" s="63"/>
      <c r="D39" s="5"/>
      <c r="E39" s="5"/>
      <c r="F39" s="5"/>
      <c r="G39" s="5"/>
      <c r="H39" s="5"/>
      <c r="I39" s="5"/>
      <c r="J39" s="5"/>
      <c r="K39" s="5"/>
    </row>
    <row r="40" spans="2:11" ht="24" customHeight="1" thickBot="1">
      <c r="B40" s="2431" t="s">
        <v>807</v>
      </c>
      <c r="C40" s="2432"/>
      <c r="D40" s="2432"/>
      <c r="E40" s="2433"/>
      <c r="F40" s="5"/>
      <c r="G40" s="5"/>
      <c r="H40" s="5"/>
      <c r="I40" s="5"/>
      <c r="J40" s="5"/>
      <c r="K40" s="5"/>
    </row>
    <row r="41" spans="2:11" ht="15" thickBot="1">
      <c r="B41" s="2421">
        <v>1</v>
      </c>
      <c r="C41" s="72"/>
      <c r="D41" s="38" t="s">
        <v>808</v>
      </c>
      <c r="E41" s="25" t="s">
        <v>809</v>
      </c>
      <c r="F41" s="5"/>
      <c r="G41" s="5"/>
      <c r="H41" s="5"/>
      <c r="I41" s="5"/>
      <c r="J41" s="5"/>
      <c r="K41" s="5"/>
    </row>
    <row r="42" spans="2:11" ht="24.6" thickBot="1">
      <c r="B42" s="2422"/>
      <c r="C42" s="72"/>
      <c r="D42" s="32" t="s">
        <v>528</v>
      </c>
      <c r="E42" s="24" t="s">
        <v>914</v>
      </c>
      <c r="F42" s="5"/>
      <c r="G42" s="5"/>
      <c r="H42" s="5"/>
      <c r="I42" s="5"/>
      <c r="J42" s="5"/>
      <c r="K42" s="5"/>
    </row>
    <row r="43" spans="2:11" ht="15" thickBot="1">
      <c r="B43" s="2422"/>
      <c r="C43" s="72"/>
      <c r="D43" s="32" t="s">
        <v>811</v>
      </c>
      <c r="E43" s="24" t="s">
        <v>915</v>
      </c>
      <c r="F43" s="5"/>
      <c r="G43" s="5"/>
      <c r="H43" s="5"/>
      <c r="I43" s="5"/>
      <c r="J43" s="5"/>
      <c r="K43" s="5"/>
    </row>
    <row r="44" spans="2:11" ht="15" thickBot="1">
      <c r="B44" s="2422"/>
      <c r="C44" s="72"/>
      <c r="D44" s="32" t="s">
        <v>531</v>
      </c>
      <c r="E44" s="25" t="s">
        <v>967</v>
      </c>
      <c r="F44" s="5"/>
      <c r="G44" s="5"/>
      <c r="H44" s="5"/>
      <c r="I44" s="5"/>
      <c r="J44" s="5"/>
      <c r="K44" s="5"/>
    </row>
    <row r="45" spans="2:11" ht="15" thickBot="1">
      <c r="B45" s="2422"/>
      <c r="C45" s="72"/>
      <c r="D45" s="32" t="s">
        <v>534</v>
      </c>
      <c r="E45" s="490" t="s">
        <v>814</v>
      </c>
      <c r="F45" s="5"/>
      <c r="G45" s="5"/>
      <c r="H45" s="5"/>
      <c r="I45" s="5"/>
      <c r="J45" s="5"/>
      <c r="K45" s="5"/>
    </row>
    <row r="46" spans="2:11" ht="15" thickBot="1">
      <c r="B46" s="2422"/>
      <c r="C46" s="72"/>
      <c r="D46" s="32" t="s">
        <v>537</v>
      </c>
      <c r="E46" s="273">
        <v>3686626</v>
      </c>
      <c r="F46" s="5"/>
      <c r="G46" s="5"/>
      <c r="H46" s="5"/>
      <c r="I46" s="5"/>
      <c r="J46" s="5"/>
      <c r="K46" s="5"/>
    </row>
    <row r="47" spans="2:11" ht="15" thickBot="1">
      <c r="B47" s="2423"/>
      <c r="C47" s="2"/>
      <c r="D47" s="32" t="s">
        <v>815</v>
      </c>
      <c r="E47" s="24" t="s">
        <v>816</v>
      </c>
      <c r="F47" s="5"/>
      <c r="G47" s="5"/>
      <c r="H47" s="5"/>
      <c r="I47" s="5"/>
      <c r="J47" s="5"/>
      <c r="K47" s="5"/>
    </row>
    <row r="48" spans="2:11" ht="15" thickBot="1">
      <c r="B48" s="1"/>
      <c r="C48" s="63"/>
      <c r="D48" s="5"/>
      <c r="E48" s="5"/>
      <c r="F48" s="5"/>
      <c r="G48" s="5"/>
      <c r="H48" s="5"/>
      <c r="I48" s="5"/>
      <c r="J48" s="5"/>
      <c r="K48" s="5"/>
    </row>
    <row r="49" spans="2:11" ht="15" thickBot="1">
      <c r="B49" s="2431" t="s">
        <v>817</v>
      </c>
      <c r="C49" s="2432"/>
      <c r="D49" s="2432"/>
      <c r="E49" s="2433"/>
      <c r="F49" s="5"/>
      <c r="G49" s="5"/>
      <c r="H49" s="5"/>
      <c r="I49" s="5"/>
      <c r="J49" s="5"/>
      <c r="K49" s="5"/>
    </row>
    <row r="50" spans="2:11" ht="27" customHeight="1" thickBot="1">
      <c r="B50" s="2421">
        <v>1</v>
      </c>
      <c r="C50" s="72"/>
      <c r="D50" s="38" t="s">
        <v>808</v>
      </c>
      <c r="E50" s="170" t="s">
        <v>818</v>
      </c>
      <c r="F50" s="5"/>
      <c r="G50" s="5"/>
      <c r="H50" s="5"/>
      <c r="I50" s="5"/>
      <c r="J50" s="5"/>
      <c r="K50" s="5"/>
    </row>
    <row r="51" spans="2:11" ht="26.25" customHeight="1" thickBot="1">
      <c r="B51" s="2422"/>
      <c r="C51" s="72"/>
      <c r="D51" s="32" t="s">
        <v>528</v>
      </c>
      <c r="E51" s="170" t="s">
        <v>819</v>
      </c>
      <c r="F51" s="5"/>
      <c r="G51" s="5"/>
      <c r="H51" s="5"/>
      <c r="I51" s="5"/>
      <c r="J51" s="5"/>
      <c r="K51" s="5"/>
    </row>
    <row r="52" spans="2:11" ht="15" thickBot="1">
      <c r="B52" s="2422"/>
      <c r="C52" s="72"/>
      <c r="D52" s="32" t="s">
        <v>811</v>
      </c>
      <c r="E52" s="184"/>
      <c r="F52" s="5"/>
      <c r="G52" s="5"/>
      <c r="H52" s="5"/>
      <c r="I52" s="5"/>
      <c r="J52" s="5"/>
      <c r="K52" s="5"/>
    </row>
    <row r="53" spans="2:11" ht="15" thickBot="1">
      <c r="B53" s="2422"/>
      <c r="C53" s="72"/>
      <c r="D53" s="32" t="s">
        <v>531</v>
      </c>
      <c r="E53" s="184"/>
      <c r="F53" s="5"/>
      <c r="G53" s="5"/>
      <c r="H53" s="5"/>
      <c r="I53" s="5"/>
      <c r="J53" s="5"/>
      <c r="K53" s="5"/>
    </row>
    <row r="54" spans="2:11" ht="15" thickBot="1">
      <c r="B54" s="2422"/>
      <c r="C54" s="72"/>
      <c r="D54" s="32" t="s">
        <v>534</v>
      </c>
      <c r="E54" s="184"/>
      <c r="F54" s="5"/>
      <c r="G54" s="5"/>
      <c r="H54" s="5"/>
      <c r="I54" s="5"/>
      <c r="J54" s="5"/>
      <c r="K54" s="5"/>
    </row>
    <row r="55" spans="2:11" ht="15" thickBot="1">
      <c r="B55" s="2422"/>
      <c r="C55" s="72"/>
      <c r="D55" s="32" t="s">
        <v>537</v>
      </c>
      <c r="E55" s="184"/>
      <c r="F55" s="5"/>
      <c r="G55" s="5"/>
      <c r="H55" s="5"/>
      <c r="I55" s="5"/>
      <c r="J55" s="5"/>
      <c r="K55" s="5"/>
    </row>
    <row r="56" spans="2:11" ht="15" thickBot="1">
      <c r="B56" s="2423"/>
      <c r="C56" s="2"/>
      <c r="D56" s="32" t="s">
        <v>815</v>
      </c>
      <c r="E56" s="184"/>
      <c r="F56" s="5"/>
      <c r="G56" s="5"/>
      <c r="H56" s="5"/>
      <c r="I56" s="5"/>
      <c r="J56" s="5"/>
      <c r="K56" s="5"/>
    </row>
    <row r="57" spans="2:11" ht="15" thickBot="1">
      <c r="B57" s="1"/>
      <c r="C57" s="63"/>
      <c r="D57" s="5"/>
      <c r="E57" s="5"/>
      <c r="F57" s="5"/>
      <c r="G57" s="5"/>
      <c r="H57" s="5"/>
      <c r="I57" s="5"/>
      <c r="J57" s="5"/>
      <c r="K57" s="5"/>
    </row>
    <row r="58" spans="2:11" ht="15" thickBot="1">
      <c r="B58" s="2431" t="s">
        <v>820</v>
      </c>
      <c r="C58" s="2432"/>
      <c r="D58" s="2432"/>
      <c r="E58" s="2432"/>
      <c r="F58" s="2433"/>
      <c r="G58" s="5"/>
      <c r="H58" s="5"/>
      <c r="I58" s="5"/>
      <c r="J58" s="5"/>
      <c r="K58" s="5"/>
    </row>
    <row r="59" spans="2:11" ht="15" thickBot="1">
      <c r="B59" s="37" t="s">
        <v>821</v>
      </c>
      <c r="C59" s="32" t="s">
        <v>822</v>
      </c>
      <c r="D59" s="32" t="s">
        <v>823</v>
      </c>
      <c r="E59" s="32" t="s">
        <v>824</v>
      </c>
      <c r="F59" s="5"/>
      <c r="G59" s="5"/>
      <c r="H59" s="5"/>
      <c r="I59" s="5"/>
      <c r="J59" s="5"/>
    </row>
    <row r="60" spans="2:11" ht="72.599999999999994" thickBot="1">
      <c r="B60" s="39">
        <v>42401</v>
      </c>
      <c r="C60" s="32">
        <v>0.01</v>
      </c>
      <c r="D60" s="57" t="s">
        <v>1037</v>
      </c>
      <c r="E60" s="32"/>
      <c r="F60" s="5"/>
      <c r="G60" s="5"/>
      <c r="H60" s="5"/>
      <c r="I60" s="5"/>
      <c r="J60" s="5"/>
    </row>
    <row r="61" spans="2:11" ht="15" thickBot="1">
      <c r="B61" s="1"/>
      <c r="C61" s="63"/>
      <c r="D61" s="5"/>
      <c r="E61" s="5"/>
      <c r="F61" s="5"/>
      <c r="G61" s="5"/>
      <c r="H61" s="5"/>
      <c r="I61" s="5"/>
      <c r="J61" s="5"/>
      <c r="K61" s="5"/>
    </row>
    <row r="62" spans="2:11" ht="15" thickBot="1">
      <c r="B62" s="4" t="s">
        <v>702</v>
      </c>
      <c r="C62" s="74"/>
      <c r="D62" s="5"/>
      <c r="E62" s="5"/>
      <c r="F62" s="5"/>
      <c r="G62" s="5"/>
      <c r="H62" s="5"/>
      <c r="I62" s="5"/>
      <c r="J62" s="5"/>
      <c r="K62" s="5"/>
    </row>
    <row r="63" spans="2:11" ht="15" thickBot="1">
      <c r="B63" s="2431" t="s">
        <v>826</v>
      </c>
      <c r="C63" s="2432"/>
      <c r="D63" s="2433"/>
      <c r="E63" s="5"/>
      <c r="F63" s="5"/>
      <c r="G63" s="5"/>
      <c r="H63" s="5"/>
      <c r="I63" s="5"/>
      <c r="J63" s="5"/>
      <c r="K63" s="5"/>
    </row>
    <row r="64" spans="2:11" ht="84.6" thickBot="1">
      <c r="B64" s="37" t="s">
        <v>827</v>
      </c>
      <c r="C64" s="2"/>
      <c r="D64" s="32" t="s">
        <v>1038</v>
      </c>
      <c r="E64" s="5"/>
      <c r="F64" s="5"/>
      <c r="G64" s="5"/>
      <c r="H64" s="5"/>
      <c r="I64" s="5"/>
      <c r="J64" s="5"/>
      <c r="K64" s="5"/>
    </row>
    <row r="65" spans="2:11">
      <c r="B65" s="2421" t="s">
        <v>829</v>
      </c>
      <c r="C65" s="72"/>
      <c r="D65" s="43" t="s">
        <v>830</v>
      </c>
      <c r="E65" s="5"/>
      <c r="F65" s="5"/>
      <c r="G65" s="5"/>
      <c r="H65" s="5"/>
      <c r="I65" s="5"/>
      <c r="J65" s="5"/>
      <c r="K65" s="5"/>
    </row>
    <row r="66" spans="2:11" ht="60">
      <c r="B66" s="2422"/>
      <c r="C66" s="72"/>
      <c r="D66" s="36" t="s">
        <v>1039</v>
      </c>
      <c r="E66" s="5"/>
      <c r="F66" s="5"/>
      <c r="G66" s="5"/>
      <c r="H66" s="5"/>
      <c r="I66" s="5"/>
      <c r="J66" s="5"/>
      <c r="K66" s="5"/>
    </row>
    <row r="67" spans="2:11" ht="36">
      <c r="B67" s="2422"/>
      <c r="C67" s="72"/>
      <c r="D67" s="36" t="s">
        <v>1040</v>
      </c>
      <c r="E67" s="5"/>
      <c r="F67" s="5"/>
      <c r="G67" s="5"/>
      <c r="H67" s="5"/>
      <c r="I67" s="5"/>
      <c r="J67" s="5"/>
      <c r="K67" s="5"/>
    </row>
    <row r="68" spans="2:11">
      <c r="B68" s="2422"/>
      <c r="C68" s="72"/>
      <c r="D68" s="43" t="s">
        <v>1041</v>
      </c>
      <c r="E68" s="5"/>
      <c r="F68" s="5"/>
      <c r="G68" s="5"/>
      <c r="H68" s="5"/>
      <c r="I68" s="5"/>
      <c r="J68" s="5"/>
      <c r="K68" s="5"/>
    </row>
    <row r="69" spans="2:11">
      <c r="B69" s="2422"/>
      <c r="C69" s="72"/>
      <c r="D69" s="36" t="s">
        <v>834</v>
      </c>
      <c r="E69" s="5"/>
      <c r="F69" s="5"/>
      <c r="G69" s="5"/>
      <c r="H69" s="5"/>
      <c r="I69" s="5"/>
      <c r="J69" s="5"/>
      <c r="K69" s="5"/>
    </row>
    <row r="70" spans="2:11">
      <c r="B70" s="2422"/>
      <c r="C70" s="72"/>
      <c r="D70" s="36" t="s">
        <v>949</v>
      </c>
      <c r="E70" s="5"/>
      <c r="F70" s="5"/>
      <c r="G70" s="5"/>
      <c r="H70" s="5"/>
      <c r="I70" s="5"/>
      <c r="J70" s="5"/>
      <c r="K70" s="5"/>
    </row>
    <row r="71" spans="2:11" ht="15" thickBot="1">
      <c r="B71" s="2423"/>
      <c r="C71" s="2"/>
      <c r="D71" s="32" t="s">
        <v>1042</v>
      </c>
      <c r="E71" s="5"/>
      <c r="F71" s="5"/>
      <c r="G71" s="5"/>
      <c r="H71" s="5"/>
      <c r="I71" s="5"/>
      <c r="J71" s="5"/>
      <c r="K71" s="5"/>
    </row>
    <row r="72" spans="2:11" ht="24.6" thickBot="1">
      <c r="B72" s="37" t="s">
        <v>842</v>
      </c>
      <c r="C72" s="2"/>
      <c r="D72" s="32"/>
      <c r="E72" s="5"/>
      <c r="F72" s="5"/>
      <c r="G72" s="5"/>
      <c r="H72" s="5"/>
      <c r="I72" s="5"/>
      <c r="J72" s="5"/>
      <c r="K72" s="5"/>
    </row>
    <row r="73" spans="2:11" ht="120">
      <c r="B73" s="2421" t="s">
        <v>843</v>
      </c>
      <c r="C73" s="72"/>
      <c r="D73" s="36" t="s">
        <v>1043</v>
      </c>
      <c r="E73" s="5"/>
      <c r="F73" s="5"/>
      <c r="G73" s="5"/>
      <c r="H73" s="5"/>
      <c r="I73" s="5"/>
      <c r="J73" s="5"/>
      <c r="K73" s="5"/>
    </row>
    <row r="74" spans="2:11" ht="96.6" thickBot="1">
      <c r="B74" s="2423"/>
      <c r="C74" s="2"/>
      <c r="D74" s="32" t="s">
        <v>1044</v>
      </c>
      <c r="E74" s="5"/>
      <c r="F74" s="5"/>
      <c r="G74" s="5"/>
      <c r="H74" s="5"/>
      <c r="I74" s="5"/>
      <c r="J74" s="5"/>
      <c r="K74" s="5"/>
    </row>
    <row r="75" spans="2:11" ht="29.4" customHeight="1">
      <c r="B75" s="2421" t="s">
        <v>860</v>
      </c>
      <c r="C75" s="72"/>
      <c r="D75" s="36" t="s">
        <v>861</v>
      </c>
      <c r="E75" s="5"/>
      <c r="F75" s="5"/>
      <c r="G75" s="5"/>
      <c r="H75" s="5"/>
      <c r="I75" s="5"/>
      <c r="J75" s="5"/>
      <c r="K75" s="5"/>
    </row>
    <row r="76" spans="2:11" ht="50.4">
      <c r="B76" s="2422"/>
      <c r="C76" s="72"/>
      <c r="D76" s="36" t="s">
        <v>1045</v>
      </c>
      <c r="E76" s="5"/>
      <c r="F76" s="5"/>
      <c r="G76" s="5"/>
      <c r="H76" s="5"/>
      <c r="I76" s="5"/>
      <c r="J76" s="5"/>
      <c r="K76" s="5"/>
    </row>
    <row r="77" spans="2:11" ht="38.4">
      <c r="B77" s="2422"/>
      <c r="C77" s="72"/>
      <c r="D77" s="36" t="s">
        <v>1046</v>
      </c>
      <c r="E77" s="5"/>
      <c r="F77" s="5"/>
      <c r="G77" s="5"/>
      <c r="H77" s="5"/>
      <c r="I77" s="5"/>
      <c r="J77" s="5"/>
      <c r="K77" s="5"/>
    </row>
    <row r="78" spans="2:11" ht="26.4">
      <c r="B78" s="2422"/>
      <c r="C78" s="72"/>
      <c r="D78" s="36" t="s">
        <v>1047</v>
      </c>
      <c r="E78" s="5"/>
      <c r="F78" s="5"/>
      <c r="G78" s="5"/>
      <c r="H78" s="5"/>
      <c r="I78" s="5"/>
      <c r="J78" s="5"/>
      <c r="K78" s="5"/>
    </row>
    <row r="79" spans="2:11" ht="26.4">
      <c r="B79" s="2422"/>
      <c r="C79" s="72"/>
      <c r="D79" s="36" t="s">
        <v>1048</v>
      </c>
      <c r="E79" s="5"/>
      <c r="F79" s="5"/>
      <c r="G79" s="5"/>
      <c r="H79" s="5"/>
      <c r="I79" s="5"/>
      <c r="J79" s="5"/>
      <c r="K79" s="5"/>
    </row>
    <row r="80" spans="2:11">
      <c r="B80" s="2422"/>
      <c r="C80" s="72"/>
      <c r="D80" s="36" t="s">
        <v>1049</v>
      </c>
      <c r="E80" s="5"/>
      <c r="F80" s="5"/>
      <c r="G80" s="5"/>
      <c r="H80" s="5"/>
      <c r="I80" s="5"/>
      <c r="J80" s="5"/>
      <c r="K80" s="5"/>
    </row>
    <row r="81" spans="2:11">
      <c r="B81" s="2422"/>
      <c r="C81" s="72"/>
      <c r="D81" s="36" t="s">
        <v>1050</v>
      </c>
      <c r="E81" s="5"/>
      <c r="F81" s="5"/>
      <c r="G81" s="5"/>
      <c r="H81" s="5"/>
      <c r="I81" s="5"/>
      <c r="J81" s="5"/>
      <c r="K81" s="5"/>
    </row>
    <row r="82" spans="2:11">
      <c r="B82" s="2422"/>
      <c r="C82" s="72"/>
      <c r="D82" s="36" t="s">
        <v>1051</v>
      </c>
      <c r="E82" s="5"/>
      <c r="F82" s="5"/>
      <c r="G82" s="5"/>
      <c r="H82" s="5"/>
      <c r="I82" s="5"/>
      <c r="J82" s="5"/>
      <c r="K82" s="5"/>
    </row>
    <row r="83" spans="2:11">
      <c r="B83" s="2422"/>
      <c r="C83" s="72"/>
      <c r="D83" s="36" t="s">
        <v>869</v>
      </c>
      <c r="E83" s="5"/>
      <c r="F83" s="5"/>
      <c r="G83" s="5"/>
      <c r="H83" s="5"/>
      <c r="I83" s="5"/>
      <c r="J83" s="5"/>
      <c r="K83" s="5"/>
    </row>
    <row r="84" spans="2:11" ht="60">
      <c r="B84" s="2422"/>
      <c r="C84" s="72"/>
      <c r="D84" s="44" t="s">
        <v>1052</v>
      </c>
      <c r="E84" s="5"/>
      <c r="F84" s="5"/>
      <c r="G84" s="5"/>
      <c r="H84" s="5"/>
      <c r="I84" s="5"/>
      <c r="J84" s="5"/>
      <c r="K84" s="5"/>
    </row>
    <row r="85" spans="2:11">
      <c r="B85" s="2422"/>
      <c r="C85" s="72"/>
      <c r="D85" s="43" t="s">
        <v>1053</v>
      </c>
      <c r="E85" s="5"/>
      <c r="F85" s="5"/>
      <c r="G85" s="5"/>
      <c r="H85" s="5"/>
      <c r="I85" s="5"/>
      <c r="J85" s="5"/>
      <c r="K85" s="5"/>
    </row>
    <row r="86" spans="2:11">
      <c r="B86" s="2422"/>
      <c r="C86" s="72"/>
      <c r="D86" s="13"/>
      <c r="E86" s="5"/>
      <c r="F86" s="5"/>
      <c r="G86" s="5"/>
      <c r="H86" s="5"/>
      <c r="I86" s="5"/>
      <c r="J86" s="5"/>
      <c r="K86" s="5"/>
    </row>
    <row r="87" spans="2:11">
      <c r="B87" s="2422"/>
      <c r="C87" s="72"/>
      <c r="D87" s="36" t="s">
        <v>861</v>
      </c>
      <c r="E87" s="5"/>
      <c r="F87" s="5"/>
      <c r="G87" s="5"/>
      <c r="H87" s="5"/>
      <c r="I87" s="5"/>
      <c r="J87" s="5"/>
      <c r="K87" s="5"/>
    </row>
    <row r="88" spans="2:11" ht="38.4">
      <c r="B88" s="2422"/>
      <c r="C88" s="72"/>
      <c r="D88" s="36" t="s">
        <v>1046</v>
      </c>
      <c r="E88" s="5"/>
      <c r="F88" s="5"/>
      <c r="G88" s="5"/>
      <c r="H88" s="5"/>
      <c r="I88" s="5"/>
      <c r="J88" s="5"/>
      <c r="K88" s="5"/>
    </row>
    <row r="89" spans="2:11" ht="26.4">
      <c r="B89" s="2422"/>
      <c r="C89" s="72"/>
      <c r="D89" s="36" t="s">
        <v>1054</v>
      </c>
      <c r="E89" s="5"/>
      <c r="F89" s="5"/>
      <c r="G89" s="5"/>
      <c r="H89" s="5"/>
      <c r="I89" s="5"/>
      <c r="J89" s="5"/>
      <c r="K89" s="5"/>
    </row>
    <row r="90" spans="2:11">
      <c r="B90" s="2422"/>
      <c r="C90" s="72"/>
      <c r="D90" s="36" t="s">
        <v>1055</v>
      </c>
      <c r="E90" s="5"/>
      <c r="F90" s="5"/>
      <c r="G90" s="5"/>
      <c r="H90" s="5"/>
      <c r="I90" s="5"/>
      <c r="J90" s="5"/>
      <c r="K90" s="5"/>
    </row>
    <row r="91" spans="2:11">
      <c r="B91" s="2422"/>
      <c r="C91" s="72"/>
      <c r="D91" s="43" t="s">
        <v>1056</v>
      </c>
      <c r="E91" s="5"/>
      <c r="F91" s="5"/>
      <c r="G91" s="5"/>
      <c r="H91" s="5"/>
      <c r="I91" s="5"/>
      <c r="J91" s="5"/>
      <c r="K91" s="5"/>
    </row>
    <row r="92" spans="2:11">
      <c r="B92" s="2422"/>
      <c r="C92" s="72"/>
      <c r="D92" s="13"/>
      <c r="E92" s="5"/>
      <c r="F92" s="5"/>
      <c r="G92" s="5"/>
      <c r="H92" s="5"/>
      <c r="I92" s="5"/>
      <c r="J92" s="5"/>
      <c r="K92" s="5"/>
    </row>
    <row r="93" spans="2:11">
      <c r="B93" s="2422"/>
      <c r="C93" s="72"/>
      <c r="D93" s="36" t="s">
        <v>861</v>
      </c>
      <c r="E93" s="5"/>
      <c r="F93" s="5"/>
      <c r="G93" s="5"/>
      <c r="H93" s="5"/>
      <c r="I93" s="5"/>
      <c r="J93" s="5"/>
      <c r="K93" s="5"/>
    </row>
    <row r="94" spans="2:11" ht="26.4">
      <c r="B94" s="2422"/>
      <c r="C94" s="72"/>
      <c r="D94" s="36" t="s">
        <v>1047</v>
      </c>
      <c r="E94" s="5"/>
      <c r="F94" s="5"/>
      <c r="G94" s="5"/>
      <c r="H94" s="5"/>
      <c r="I94" s="5"/>
      <c r="J94" s="5"/>
      <c r="K94" s="5"/>
    </row>
    <row r="95" spans="2:11" ht="26.4">
      <c r="B95" s="2422"/>
      <c r="C95" s="72"/>
      <c r="D95" s="36" t="s">
        <v>1057</v>
      </c>
      <c r="E95" s="5"/>
      <c r="F95" s="5"/>
      <c r="G95" s="5"/>
      <c r="H95" s="5"/>
      <c r="I95" s="5"/>
      <c r="J95" s="5"/>
      <c r="K95" s="5"/>
    </row>
    <row r="96" spans="2:11">
      <c r="B96" s="2422"/>
      <c r="C96" s="72"/>
      <c r="D96" s="36" t="s">
        <v>1058</v>
      </c>
      <c r="E96" s="5"/>
      <c r="F96" s="5"/>
      <c r="G96" s="5"/>
      <c r="H96" s="5"/>
      <c r="I96" s="5"/>
      <c r="J96" s="5"/>
      <c r="K96" s="5"/>
    </row>
    <row r="97" spans="2:11">
      <c r="B97" s="2422"/>
      <c r="C97" s="72"/>
      <c r="D97" s="43" t="s">
        <v>1059</v>
      </c>
      <c r="E97" s="5"/>
      <c r="F97" s="5"/>
      <c r="G97" s="5"/>
      <c r="H97" s="5"/>
      <c r="I97" s="5"/>
      <c r="J97" s="5"/>
      <c r="K97" s="5"/>
    </row>
    <row r="98" spans="2:11">
      <c r="B98" s="2422"/>
      <c r="C98" s="72"/>
      <c r="D98" s="13"/>
      <c r="E98" s="5"/>
      <c r="F98" s="5"/>
      <c r="G98" s="5"/>
      <c r="H98" s="5"/>
      <c r="I98" s="5"/>
      <c r="J98" s="5"/>
      <c r="K98" s="5"/>
    </row>
    <row r="99" spans="2:11">
      <c r="B99" s="2422"/>
      <c r="C99" s="72"/>
      <c r="D99" s="36" t="s">
        <v>861</v>
      </c>
      <c r="E99" s="5"/>
      <c r="F99" s="5"/>
      <c r="G99" s="5"/>
      <c r="H99" s="5"/>
      <c r="I99" s="5"/>
      <c r="J99" s="5"/>
      <c r="K99" s="5"/>
    </row>
    <row r="100" spans="2:11" ht="26.4">
      <c r="B100" s="2422"/>
      <c r="C100" s="72"/>
      <c r="D100" s="36" t="s">
        <v>1060</v>
      </c>
      <c r="E100" s="5"/>
      <c r="F100" s="5"/>
      <c r="G100" s="5"/>
      <c r="H100" s="5"/>
      <c r="I100" s="5"/>
      <c r="J100" s="5"/>
      <c r="K100" s="5"/>
    </row>
    <row r="101" spans="2:11">
      <c r="B101" s="2422"/>
      <c r="C101" s="72"/>
      <c r="D101" s="36" t="s">
        <v>1061</v>
      </c>
      <c r="E101" s="5"/>
      <c r="F101" s="5"/>
      <c r="G101" s="5"/>
      <c r="H101" s="5"/>
      <c r="I101" s="5"/>
      <c r="J101" s="5"/>
      <c r="K101" s="5"/>
    </row>
    <row r="102" spans="2:11">
      <c r="B102" s="2422"/>
      <c r="C102" s="72"/>
      <c r="D102" s="36" t="s">
        <v>1062</v>
      </c>
      <c r="E102" s="5"/>
      <c r="F102" s="5"/>
      <c r="G102" s="5"/>
      <c r="H102" s="5"/>
      <c r="I102" s="5"/>
      <c r="J102" s="5"/>
      <c r="K102" s="5"/>
    </row>
    <row r="103" spans="2:11">
      <c r="B103" s="2422"/>
      <c r="C103" s="72"/>
      <c r="D103" s="43" t="s">
        <v>1021</v>
      </c>
      <c r="E103" s="5"/>
      <c r="F103" s="5"/>
      <c r="G103" s="5"/>
      <c r="H103" s="5"/>
      <c r="I103" s="5"/>
      <c r="J103" s="5"/>
      <c r="K103" s="5"/>
    </row>
    <row r="104" spans="2:11" ht="24">
      <c r="B104" s="2422"/>
      <c r="C104" s="72"/>
      <c r="D104" s="43" t="s">
        <v>1022</v>
      </c>
      <c r="E104" s="5"/>
      <c r="F104" s="5"/>
      <c r="G104" s="5"/>
      <c r="H104" s="5"/>
      <c r="I104" s="5"/>
      <c r="J104" s="5"/>
      <c r="K104" s="5"/>
    </row>
    <row r="105" spans="2:11">
      <c r="B105" s="2422"/>
      <c r="C105" s="72"/>
      <c r="D105" s="36" t="s">
        <v>1063</v>
      </c>
      <c r="E105" s="5"/>
      <c r="F105" s="5"/>
      <c r="G105" s="5"/>
      <c r="H105" s="5"/>
      <c r="I105" s="5"/>
      <c r="J105" s="5"/>
      <c r="K105" s="5"/>
    </row>
    <row r="106" spans="2:11">
      <c r="B106" s="2422"/>
      <c r="C106" s="72"/>
      <c r="D106" s="36" t="s">
        <v>861</v>
      </c>
      <c r="E106" s="5"/>
      <c r="F106" s="5"/>
      <c r="G106" s="5"/>
      <c r="H106" s="5"/>
      <c r="I106" s="5"/>
      <c r="J106" s="5"/>
      <c r="K106" s="5"/>
    </row>
    <row r="107" spans="2:11" ht="38.4">
      <c r="B107" s="2422"/>
      <c r="C107" s="72"/>
      <c r="D107" s="36" t="s">
        <v>1064</v>
      </c>
      <c r="E107" s="5"/>
      <c r="F107" s="5"/>
      <c r="G107" s="5"/>
      <c r="H107" s="5"/>
      <c r="I107" s="5"/>
      <c r="J107" s="5"/>
      <c r="K107" s="5"/>
    </row>
    <row r="108" spans="2:11" ht="38.4">
      <c r="B108" s="2422"/>
      <c r="C108" s="72"/>
      <c r="D108" s="36" t="s">
        <v>1065</v>
      </c>
      <c r="E108" s="5"/>
      <c r="F108" s="5"/>
      <c r="G108" s="5"/>
      <c r="H108" s="5"/>
      <c r="I108" s="5"/>
      <c r="J108" s="5"/>
      <c r="K108" s="5"/>
    </row>
    <row r="109" spans="2:11" ht="39" thickBot="1">
      <c r="B109" s="2423"/>
      <c r="C109" s="2"/>
      <c r="D109" s="32" t="s">
        <v>1066</v>
      </c>
      <c r="E109" s="5"/>
      <c r="F109" s="5"/>
      <c r="G109" s="5"/>
      <c r="H109" s="5"/>
      <c r="I109" s="5"/>
      <c r="J109" s="5"/>
      <c r="K109" s="5"/>
    </row>
  </sheetData>
  <sheetProtection insertRows="0"/>
  <mergeCells count="28">
    <mergeCell ref="B75:B109"/>
    <mergeCell ref="B50:B56"/>
    <mergeCell ref="B58:F58"/>
    <mergeCell ref="B10:D10"/>
    <mergeCell ref="F10:S10"/>
    <mergeCell ref="F11:S11"/>
    <mergeCell ref="E12:R12"/>
    <mergeCell ref="E13:R13"/>
    <mergeCell ref="D36:K36"/>
    <mergeCell ref="B15:B26"/>
    <mergeCell ref="B63:D63"/>
    <mergeCell ref="B65:B71"/>
    <mergeCell ref="B73:B74"/>
    <mergeCell ref="D15:K15"/>
    <mergeCell ref="D16:K16"/>
    <mergeCell ref="D28:K28"/>
    <mergeCell ref="B41:B47"/>
    <mergeCell ref="B49:E49"/>
    <mergeCell ref="D29:K29"/>
    <mergeCell ref="D30:K30"/>
    <mergeCell ref="D37:K37"/>
    <mergeCell ref="D38:K38"/>
    <mergeCell ref="B40:E40"/>
    <mergeCell ref="A1:P1"/>
    <mergeCell ref="A2:P2"/>
    <mergeCell ref="A3:P3"/>
    <mergeCell ref="A4:D4"/>
    <mergeCell ref="A5:P5"/>
  </mergeCells>
  <conditionalFormatting sqref="E12:R12">
    <cfRule type="expression" dxfId="105" priority="1">
      <formula>E11="SI SE REPORTA"</formula>
    </cfRule>
  </conditionalFormatting>
  <conditionalFormatting sqref="F10">
    <cfRule type="notContainsBlanks" dxfId="104" priority="4">
      <formula>LEN(TRIM(F10))&gt;0</formula>
    </cfRule>
  </conditionalFormatting>
  <conditionalFormatting sqref="F11:S11">
    <cfRule type="expression" dxfId="103" priority="2">
      <formula>E11="NO SE REPORTA"</formula>
    </cfRule>
    <cfRule type="expression" dxfId="102" priority="3">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18:H23" xr:uid="{00000000-0002-0000-0A00-000000000000}">
      <formula1>0</formula1>
    </dataValidation>
    <dataValidation type="list" allowBlank="1" showInputMessage="1" showErrorMessage="1" sqref="E11" xr:uid="{00000000-0002-0000-0A00-000001000000}">
      <formula1>REPORTE</formula1>
    </dataValidation>
    <dataValidation type="list" allowBlank="1" showInputMessage="1" showErrorMessage="1" sqref="E10" xr:uid="{00000000-0002-0000-0A00-000002000000}">
      <formula1>SI</formula1>
    </dataValidation>
    <dataValidation type="whole" operator="greaterThanOrEqual" allowBlank="1" showInputMessage="1" showErrorMessage="1" errorTitle="ERROR" error="Valor en PESOS (sin centavos)" sqref="F33:I34" xr:uid="{00000000-0002-0000-0A00-000003000000}">
      <formula1>0</formula1>
    </dataValidation>
    <dataValidation type="textLength" allowBlank="1" showInputMessage="1" showErrorMessage="1" errorTitle="ERROR" error="Escriba POMCA, PMM o PMA" promptTitle="ESCRIBA" prompt="POMCA, PMA o PMM" sqref="E33:E34" xr:uid="{00000000-0002-0000-0A00-000004000000}">
      <formula1>1</formula1>
      <formula2>5</formula2>
    </dataValidation>
  </dataValidations>
  <hyperlinks>
    <hyperlink ref="B9" location="'ANEXO 3'!A1" display="VOLVER AL INDICE" xr:uid="{00000000-0004-0000-0A00-000000000000}"/>
    <hyperlink ref="E45" r:id="rId1" xr:uid="{00000000-0004-0000-0A00-000001000000}"/>
  </hyperlinks>
  <pageMargins left="0.25" right="0.25" top="0.75" bottom="0.75" header="0.3" footer="0.3"/>
  <pageSetup paperSize="178" orientation="landscape" horizontalDpi="1200" verticalDpi="1200"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7"/>
  <dimension ref="A1:U83"/>
  <sheetViews>
    <sheetView topLeftCell="A25" workbookViewId="0">
      <selection activeCell="F24" sqref="F24"/>
    </sheetView>
  </sheetViews>
  <sheetFormatPr baseColWidth="10" defaultColWidth="11.44140625" defaultRowHeight="14.4"/>
  <cols>
    <col min="1" max="1" width="1.88671875" customWidth="1"/>
    <col min="2" max="2" width="12.88671875" customWidth="1"/>
    <col min="3" max="3" width="7.33203125" style="65" customWidth="1"/>
    <col min="4" max="4" width="46.88671875" customWidth="1"/>
    <col min="5" max="5" width="26.44140625" customWidth="1"/>
    <col min="6" max="6" width="47.33203125" customWidth="1"/>
    <col min="7" max="7" width="13.44140625" customWidth="1"/>
    <col min="8" max="8" width="20.886718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27" customHeight="1"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21.75" customHeight="1"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13</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20.25" customHeight="1" thickBot="1">
      <c r="B8" s="141" t="s">
        <v>739</v>
      </c>
      <c r="C8" s="540">
        <v>2025</v>
      </c>
      <c r="D8" s="164">
        <f>IF(E10="NO APLICA","NO APLICA",IF(E11="NO SE REPORTA","SIN INFORMACION",+F19))</f>
        <v>1</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73.5" customHeight="1">
      <c r="B12" s="290"/>
      <c r="C12" s="66"/>
      <c r="D12" s="141" t="str">
        <f>IF(E11="SI SE REPORTA","¿Qué programas o proyectos del Plan de Acción están asociados al indicador? ","")</f>
        <v xml:space="preserve">¿Qué programas o proyectos del Plan de Acción están asociados al indicador? </v>
      </c>
      <c r="E12" s="2500" t="s">
        <v>1067</v>
      </c>
      <c r="F12" s="2500"/>
      <c r="G12" s="2500"/>
      <c r="H12" s="2500"/>
      <c r="I12" s="2500"/>
      <c r="J12" s="2500"/>
      <c r="K12" s="2500"/>
      <c r="L12" s="2500"/>
      <c r="M12" s="2500"/>
      <c r="N12" s="2500"/>
      <c r="O12" s="2500"/>
      <c r="P12" s="2500"/>
      <c r="Q12" s="2500"/>
      <c r="R12" s="2500"/>
    </row>
    <row r="13" spans="1:21" ht="14.25" customHeight="1">
      <c r="B13" s="290"/>
      <c r="C13" s="66"/>
      <c r="D13" s="141" t="s">
        <v>746</v>
      </c>
      <c r="E13" s="2501"/>
      <c r="F13" s="2502"/>
      <c r="G13" s="2502"/>
      <c r="H13" s="2502"/>
      <c r="I13" s="2502"/>
      <c r="J13" s="2502"/>
      <c r="K13" s="2502"/>
      <c r="L13" s="2502"/>
      <c r="M13" s="2502"/>
      <c r="N13" s="2502"/>
      <c r="O13" s="2502"/>
      <c r="P13" s="2502"/>
      <c r="Q13" s="2502"/>
      <c r="R13" s="2503"/>
    </row>
    <row r="14" spans="1:21" ht="6.9" customHeight="1" thickBot="1">
      <c r="B14" s="290"/>
      <c r="D14" s="5"/>
      <c r="E14" s="5"/>
      <c r="F14" s="5"/>
      <c r="G14" s="5"/>
      <c r="H14" s="5"/>
      <c r="I14" s="5"/>
      <c r="J14" s="5"/>
      <c r="K14" s="5"/>
    </row>
    <row r="15" spans="1:21" ht="16.5" customHeight="1" thickTop="1" thickBot="1">
      <c r="B15" s="2548" t="s">
        <v>747</v>
      </c>
      <c r="C15" s="67"/>
      <c r="D15" s="2424" t="s">
        <v>748</v>
      </c>
      <c r="E15" s="2425"/>
      <c r="F15" s="2425"/>
      <c r="G15" s="2425"/>
      <c r="H15" s="2425"/>
      <c r="I15" s="2426"/>
      <c r="J15" s="5"/>
      <c r="K15" s="5"/>
    </row>
    <row r="16" spans="1:21" ht="15" thickBot="1">
      <c r="B16" s="2453"/>
      <c r="C16" s="72"/>
      <c r="D16" s="34" t="s">
        <v>904</v>
      </c>
      <c r="E16" s="68" t="s">
        <v>794</v>
      </c>
      <c r="F16" s="68" t="s">
        <v>1147</v>
      </c>
      <c r="G16" s="68" t="s">
        <v>594</v>
      </c>
      <c r="H16" s="68" t="s">
        <v>595</v>
      </c>
      <c r="I16" s="204"/>
      <c r="J16" s="5"/>
      <c r="K16" s="5"/>
    </row>
    <row r="17" spans="2:11" ht="40.799999999999997" customHeight="1" thickBot="1">
      <c r="B17" s="2453"/>
      <c r="C17" s="72"/>
      <c r="D17" s="205" t="s">
        <v>1068</v>
      </c>
      <c r="E17" s="429">
        <v>23</v>
      </c>
      <c r="F17" s="429">
        <v>23</v>
      </c>
      <c r="G17" s="429"/>
      <c r="H17" s="429"/>
      <c r="I17" s="202"/>
      <c r="J17" s="5"/>
      <c r="K17" s="5"/>
    </row>
    <row r="18" spans="2:11" ht="41.4" customHeight="1" thickBot="1">
      <c r="B18" s="2453"/>
      <c r="C18" s="72"/>
      <c r="D18" s="205" t="s">
        <v>1069</v>
      </c>
      <c r="E18" s="429">
        <v>23</v>
      </c>
      <c r="F18" s="429">
        <v>23</v>
      </c>
      <c r="G18" s="429"/>
      <c r="H18" s="429"/>
      <c r="I18" s="202"/>
      <c r="J18" s="5"/>
      <c r="K18" s="5"/>
    </row>
    <row r="19" spans="2:11" ht="40.799999999999997" customHeight="1" thickBot="1">
      <c r="B19" s="2453"/>
      <c r="C19" s="72"/>
      <c r="D19" s="205" t="s">
        <v>1070</v>
      </c>
      <c r="E19" s="475">
        <f>IFERROR(E18/E17,"N.A.")</f>
        <v>1</v>
      </c>
      <c r="F19" s="475">
        <f>IFERROR(F18/F17,"N.A.")</f>
        <v>1</v>
      </c>
      <c r="G19" s="475" t="str">
        <f>IFERROR(G18/G17,"N.A.")</f>
        <v>N.A.</v>
      </c>
      <c r="H19" s="475" t="str">
        <f>IFERROR(H18/H17,"N.A.")</f>
        <v>N.A.</v>
      </c>
      <c r="I19" s="185"/>
      <c r="J19" s="5"/>
      <c r="K19" s="5"/>
    </row>
    <row r="20" spans="2:11" ht="30" customHeight="1" thickBot="1">
      <c r="B20" s="2453"/>
      <c r="C20" s="70"/>
      <c r="D20" s="2412" t="s">
        <v>1071</v>
      </c>
      <c r="E20" s="2413"/>
      <c r="F20" s="2413"/>
      <c r="G20" s="2413"/>
      <c r="H20" s="2413"/>
      <c r="I20" s="2414"/>
      <c r="J20" s="5"/>
      <c r="K20" s="5"/>
    </row>
    <row r="21" spans="2:11" ht="21" customHeight="1">
      <c r="B21" s="168"/>
      <c r="C21" s="2549" t="s">
        <v>698</v>
      </c>
      <c r="D21" s="2551" t="s">
        <v>1072</v>
      </c>
      <c r="E21" s="2559" t="s">
        <v>1073</v>
      </c>
      <c r="F21" s="2559" t="s">
        <v>1074</v>
      </c>
      <c r="G21" s="2553" t="s">
        <v>702</v>
      </c>
      <c r="H21" s="2554"/>
      <c r="I21" s="17"/>
      <c r="J21" s="5"/>
      <c r="K21" s="5"/>
    </row>
    <row r="22" spans="2:11" ht="15" thickBot="1">
      <c r="B22" s="168"/>
      <c r="C22" s="2550"/>
      <c r="D22" s="2552"/>
      <c r="E22" s="2560"/>
      <c r="F22" s="2560"/>
      <c r="G22" s="2555"/>
      <c r="H22" s="2556"/>
      <c r="I22" s="17"/>
      <c r="J22" s="5"/>
      <c r="K22" s="5"/>
    </row>
    <row r="23" spans="2:11" s="148" customFormat="1" ht="178.5" customHeight="1" thickBot="1">
      <c r="B23" s="165"/>
      <c r="C23" s="444">
        <v>1</v>
      </c>
      <c r="D23" s="491" t="s">
        <v>622</v>
      </c>
      <c r="E23" s="494">
        <v>23</v>
      </c>
      <c r="F23" s="921" t="s">
        <v>2109</v>
      </c>
      <c r="G23" s="2557"/>
      <c r="H23" s="2558"/>
      <c r="I23" s="16"/>
      <c r="J23" s="15"/>
      <c r="K23" s="15"/>
    </row>
    <row r="24" spans="2:11" s="148" customFormat="1" ht="96" customHeight="1" thickBot="1">
      <c r="B24" s="165"/>
      <c r="C24" s="720">
        <v>2</v>
      </c>
      <c r="D24" s="721" t="s">
        <v>623</v>
      </c>
      <c r="E24" s="722">
        <v>23</v>
      </c>
      <c r="F24" s="921" t="s">
        <v>1075</v>
      </c>
      <c r="G24" s="714"/>
      <c r="H24" s="715"/>
      <c r="I24" s="16"/>
      <c r="J24" s="15"/>
      <c r="K24" s="15"/>
    </row>
    <row r="25" spans="2:11" ht="36" customHeight="1" thickBot="1">
      <c r="B25" s="37" t="s">
        <v>803</v>
      </c>
      <c r="C25" s="71"/>
      <c r="D25" s="2424" t="s">
        <v>1076</v>
      </c>
      <c r="E25" s="2425"/>
      <c r="F25" s="2425"/>
      <c r="G25" s="2425"/>
      <c r="H25" s="2425"/>
      <c r="I25" s="2426"/>
      <c r="J25" s="5"/>
      <c r="K25" s="5"/>
    </row>
    <row r="26" spans="2:11" ht="24.6" thickBot="1">
      <c r="B26" s="37" t="s">
        <v>805</v>
      </c>
      <c r="C26" s="71"/>
      <c r="D26" s="2424" t="s">
        <v>1036</v>
      </c>
      <c r="E26" s="2425"/>
      <c r="F26" s="2425"/>
      <c r="G26" s="2425"/>
      <c r="H26" s="2425"/>
      <c r="I26" s="2426"/>
      <c r="J26" s="5"/>
      <c r="K26" s="5"/>
    </row>
    <row r="27" spans="2:11" ht="15" thickBot="1">
      <c r="B27" s="1"/>
      <c r="C27" s="63"/>
      <c r="D27" s="5"/>
      <c r="E27" s="5"/>
      <c r="F27" s="5"/>
      <c r="G27" s="5"/>
      <c r="H27" s="5"/>
      <c r="I27" s="5"/>
      <c r="J27" s="5"/>
      <c r="K27" s="5"/>
    </row>
    <row r="28" spans="2:11" ht="24" customHeight="1" thickBot="1">
      <c r="B28" s="2431" t="s">
        <v>807</v>
      </c>
      <c r="C28" s="2432"/>
      <c r="D28" s="2432"/>
      <c r="E28" s="2433"/>
      <c r="F28" s="5"/>
      <c r="G28" s="5"/>
      <c r="H28" s="5"/>
      <c r="I28" s="5"/>
      <c r="J28" s="5"/>
      <c r="K28" s="5"/>
    </row>
    <row r="29" spans="2:11" ht="15" thickBot="1">
      <c r="B29" s="2421">
        <v>1</v>
      </c>
      <c r="C29" s="72"/>
      <c r="D29" s="38" t="s">
        <v>808</v>
      </c>
      <c r="E29" s="25" t="s">
        <v>809</v>
      </c>
      <c r="F29" s="5"/>
      <c r="G29" s="5"/>
      <c r="H29" s="5"/>
      <c r="I29" s="5"/>
      <c r="J29" s="5"/>
      <c r="K29" s="5"/>
    </row>
    <row r="30" spans="2:11" ht="15" thickBot="1">
      <c r="B30" s="2422"/>
      <c r="C30" s="72"/>
      <c r="D30" s="32" t="s">
        <v>528</v>
      </c>
      <c r="E30" s="24" t="s">
        <v>966</v>
      </c>
      <c r="F30" s="5"/>
      <c r="G30" s="5"/>
      <c r="H30" s="5"/>
      <c r="I30" s="5"/>
      <c r="J30" s="5"/>
      <c r="K30" s="5"/>
    </row>
    <row r="31" spans="2:11" ht="15" thickBot="1">
      <c r="B31" s="2422"/>
      <c r="C31" s="72"/>
      <c r="D31" s="32" t="s">
        <v>811</v>
      </c>
      <c r="E31" s="25" t="s">
        <v>915</v>
      </c>
      <c r="F31" s="5"/>
      <c r="G31" s="5"/>
      <c r="H31" s="5"/>
      <c r="I31" s="5"/>
      <c r="J31" s="5"/>
      <c r="K31" s="5"/>
    </row>
    <row r="32" spans="2:11" ht="15" thickBot="1">
      <c r="B32" s="2422"/>
      <c r="C32" s="72"/>
      <c r="D32" s="32" t="s">
        <v>531</v>
      </c>
      <c r="E32" s="25" t="s">
        <v>967</v>
      </c>
      <c r="F32" s="5"/>
      <c r="G32" s="5"/>
      <c r="H32" s="5"/>
      <c r="I32" s="5"/>
      <c r="J32" s="5"/>
      <c r="K32" s="5"/>
    </row>
    <row r="33" spans="2:11" ht="15" thickBot="1">
      <c r="B33" s="2422"/>
      <c r="C33" s="72"/>
      <c r="D33" s="32" t="s">
        <v>534</v>
      </c>
      <c r="E33" s="490" t="s">
        <v>814</v>
      </c>
      <c r="F33" s="5"/>
      <c r="G33" s="5"/>
      <c r="H33" s="5"/>
      <c r="I33" s="5"/>
      <c r="J33" s="5"/>
      <c r="K33" s="5"/>
    </row>
    <row r="34" spans="2:11" ht="15" thickBot="1">
      <c r="B34" s="2422"/>
      <c r="C34" s="72"/>
      <c r="D34" s="32" t="s">
        <v>537</v>
      </c>
      <c r="E34" s="131">
        <v>3686626</v>
      </c>
      <c r="F34" s="5"/>
      <c r="G34" s="5"/>
      <c r="H34" s="5"/>
      <c r="I34" s="5"/>
      <c r="J34" s="5"/>
      <c r="K34" s="5"/>
    </row>
    <row r="35" spans="2:11" ht="15" thickBot="1">
      <c r="B35" s="2423"/>
      <c r="C35" s="2"/>
      <c r="D35" s="32" t="s">
        <v>815</v>
      </c>
      <c r="E35" s="24" t="s">
        <v>816</v>
      </c>
      <c r="F35" s="5"/>
      <c r="G35" s="5"/>
      <c r="H35" s="5"/>
      <c r="I35" s="5"/>
      <c r="J35" s="5"/>
      <c r="K35" s="5"/>
    </row>
    <row r="36" spans="2:11" ht="15" thickBot="1">
      <c r="B36" s="1"/>
      <c r="C36" s="63"/>
      <c r="D36" s="5"/>
      <c r="E36" s="5"/>
      <c r="F36" s="5"/>
      <c r="G36" s="5"/>
      <c r="H36" s="5"/>
      <c r="I36" s="5"/>
      <c r="J36" s="5"/>
      <c r="K36" s="5"/>
    </row>
    <row r="37" spans="2:11" ht="15" thickBot="1">
      <c r="B37" s="2431" t="s">
        <v>817</v>
      </c>
      <c r="C37" s="2432"/>
      <c r="D37" s="2432"/>
      <c r="E37" s="2433"/>
      <c r="F37" s="5"/>
      <c r="G37" s="5"/>
      <c r="H37" s="5"/>
      <c r="I37" s="5"/>
      <c r="J37" s="5"/>
      <c r="K37" s="5"/>
    </row>
    <row r="38" spans="2:11" ht="24.6" thickBot="1">
      <c r="B38" s="2421">
        <v>1</v>
      </c>
      <c r="C38" s="72"/>
      <c r="D38" s="38" t="s">
        <v>808</v>
      </c>
      <c r="E38" s="28" t="s">
        <v>818</v>
      </c>
      <c r="F38" s="5"/>
      <c r="G38" s="5"/>
      <c r="H38" s="5"/>
      <c r="I38" s="5"/>
      <c r="J38" s="5"/>
      <c r="K38" s="5"/>
    </row>
    <row r="39" spans="2:11" ht="36.6" thickBot="1">
      <c r="B39" s="2422"/>
      <c r="C39" s="72"/>
      <c r="D39" s="32" t="s">
        <v>528</v>
      </c>
      <c r="E39" s="28" t="s">
        <v>819</v>
      </c>
      <c r="F39" s="5"/>
      <c r="G39" s="5"/>
      <c r="H39" s="5"/>
      <c r="I39" s="5"/>
      <c r="J39" s="5"/>
      <c r="K39" s="5"/>
    </row>
    <row r="40" spans="2:11" ht="15" thickBot="1">
      <c r="B40" s="2422"/>
      <c r="C40" s="72"/>
      <c r="D40" s="32" t="s">
        <v>811</v>
      </c>
      <c r="E40" s="187"/>
      <c r="F40" s="5"/>
      <c r="G40" s="5"/>
      <c r="H40" s="5"/>
      <c r="I40" s="5"/>
      <c r="J40" s="5"/>
      <c r="K40" s="5"/>
    </row>
    <row r="41" spans="2:11" ht="15" thickBot="1">
      <c r="B41" s="2422"/>
      <c r="C41" s="72"/>
      <c r="D41" s="32" t="s">
        <v>531</v>
      </c>
      <c r="E41" s="187"/>
      <c r="F41" s="5"/>
      <c r="G41" s="5"/>
      <c r="H41" s="5"/>
      <c r="I41" s="5"/>
      <c r="J41" s="5"/>
      <c r="K41" s="5"/>
    </row>
    <row r="42" spans="2:11" ht="15" thickBot="1">
      <c r="B42" s="2422"/>
      <c r="C42" s="72"/>
      <c r="D42" s="32" t="s">
        <v>534</v>
      </c>
      <c r="E42" s="187"/>
      <c r="F42" s="5"/>
      <c r="G42" s="5"/>
      <c r="H42" s="5"/>
      <c r="I42" s="5"/>
      <c r="J42" s="5"/>
      <c r="K42" s="5"/>
    </row>
    <row r="43" spans="2:11" ht="15" thickBot="1">
      <c r="B43" s="2422"/>
      <c r="C43" s="72"/>
      <c r="D43" s="32" t="s">
        <v>537</v>
      </c>
      <c r="E43" s="187"/>
      <c r="F43" s="5"/>
      <c r="G43" s="5"/>
      <c r="H43" s="5"/>
      <c r="I43" s="5"/>
      <c r="J43" s="5"/>
      <c r="K43" s="5"/>
    </row>
    <row r="44" spans="2:11" ht="15" thickBot="1">
      <c r="B44" s="2423"/>
      <c r="C44" s="2"/>
      <c r="D44" s="32" t="s">
        <v>815</v>
      </c>
      <c r="E44" s="187"/>
      <c r="F44" s="5"/>
      <c r="G44" s="5"/>
      <c r="H44" s="5"/>
      <c r="I44" s="5"/>
      <c r="J44" s="5"/>
      <c r="K44" s="5"/>
    </row>
    <row r="45" spans="2:11" ht="15" thickBot="1">
      <c r="B45" s="1"/>
      <c r="C45" s="63"/>
      <c r="D45" s="5"/>
      <c r="E45" s="5"/>
      <c r="F45" s="5"/>
      <c r="G45" s="5"/>
      <c r="H45" s="5"/>
      <c r="I45" s="5"/>
      <c r="J45" s="5"/>
      <c r="K45" s="5"/>
    </row>
    <row r="46" spans="2:11" ht="15" customHeight="1" thickBot="1">
      <c r="B46" s="96" t="s">
        <v>820</v>
      </c>
      <c r="C46" s="97"/>
      <c r="D46" s="97"/>
      <c r="E46" s="98"/>
      <c r="G46" s="5"/>
      <c r="H46" s="5"/>
      <c r="I46" s="5"/>
      <c r="J46" s="5"/>
      <c r="K46" s="5"/>
    </row>
    <row r="47" spans="2:11" ht="15" thickBot="1">
      <c r="B47" s="37" t="s">
        <v>821</v>
      </c>
      <c r="C47" s="32" t="s">
        <v>822</v>
      </c>
      <c r="D47" s="32" t="s">
        <v>823</v>
      </c>
      <c r="E47" s="32" t="s">
        <v>824</v>
      </c>
      <c r="F47" s="5"/>
      <c r="G47" s="5"/>
      <c r="H47" s="5"/>
      <c r="I47" s="5"/>
      <c r="J47" s="5"/>
    </row>
    <row r="48" spans="2:11" ht="60.6" thickBot="1">
      <c r="B48" s="39">
        <v>42401</v>
      </c>
      <c r="C48" s="32">
        <v>0.01</v>
      </c>
      <c r="D48" s="57" t="s">
        <v>1077</v>
      </c>
      <c r="E48" s="32"/>
      <c r="F48" s="5"/>
      <c r="G48" s="5"/>
      <c r="H48" s="5"/>
      <c r="I48" s="5"/>
      <c r="J48" s="5"/>
    </row>
    <row r="49" spans="2:11" ht="15" thickBot="1">
      <c r="B49" s="3"/>
      <c r="C49" s="73"/>
      <c r="D49" s="5"/>
      <c r="E49" s="5"/>
      <c r="F49" s="5"/>
      <c r="G49" s="5"/>
      <c r="H49" s="5"/>
      <c r="I49" s="5"/>
      <c r="J49" s="5"/>
      <c r="K49" s="5"/>
    </row>
    <row r="50" spans="2:11" ht="15" thickBot="1">
      <c r="B50" s="105" t="s">
        <v>702</v>
      </c>
      <c r="C50" s="74"/>
      <c r="D50" s="5"/>
      <c r="E50" s="5"/>
      <c r="F50" s="5"/>
      <c r="G50" s="5"/>
      <c r="H50" s="5"/>
      <c r="I50" s="5"/>
      <c r="J50" s="5"/>
      <c r="K50" s="5"/>
    </row>
    <row r="51" spans="2:11" ht="15" thickBot="1">
      <c r="B51" s="2504"/>
      <c r="C51" s="2505"/>
      <c r="D51" s="2505"/>
      <c r="E51" s="2506"/>
      <c r="F51" s="5"/>
      <c r="G51" s="5"/>
      <c r="H51" s="5"/>
      <c r="I51" s="5"/>
      <c r="J51" s="5"/>
      <c r="K51" s="5"/>
    </row>
    <row r="52" spans="2:11" ht="15" thickBot="1">
      <c r="B52" s="5"/>
      <c r="D52" s="5"/>
      <c r="E52" s="5"/>
      <c r="F52" s="5"/>
      <c r="G52" s="5"/>
      <c r="H52" s="5"/>
      <c r="I52" s="5"/>
      <c r="J52" s="5"/>
      <c r="K52" s="5"/>
    </row>
    <row r="53" spans="2:11" ht="15" thickBot="1">
      <c r="B53" s="2431" t="s">
        <v>826</v>
      </c>
      <c r="C53" s="2432"/>
      <c r="D53" s="2433"/>
      <c r="E53" s="5"/>
      <c r="F53" s="5"/>
      <c r="G53" s="5"/>
      <c r="H53" s="5"/>
      <c r="I53" s="5"/>
      <c r="J53" s="5"/>
      <c r="K53" s="5"/>
    </row>
    <row r="54" spans="2:11" ht="72.599999999999994" thickBot="1">
      <c r="B54" s="37" t="s">
        <v>827</v>
      </c>
      <c r="C54" s="2"/>
      <c r="D54" s="32" t="s">
        <v>1078</v>
      </c>
      <c r="E54" s="5"/>
      <c r="F54" s="5"/>
      <c r="G54" s="5"/>
      <c r="H54" s="5"/>
      <c r="I54" s="5"/>
      <c r="J54" s="5"/>
      <c r="K54" s="5"/>
    </row>
    <row r="55" spans="2:11">
      <c r="B55" s="2421" t="s">
        <v>829</v>
      </c>
      <c r="C55" s="72"/>
      <c r="D55" s="43" t="s">
        <v>830</v>
      </c>
      <c r="E55" s="5"/>
      <c r="F55" s="5"/>
      <c r="G55" s="5"/>
      <c r="H55" s="5"/>
      <c r="I55" s="5"/>
      <c r="J55" s="5"/>
      <c r="K55" s="5"/>
    </row>
    <row r="56" spans="2:11" ht="60">
      <c r="B56" s="2422"/>
      <c r="C56" s="72"/>
      <c r="D56" s="36" t="s">
        <v>1079</v>
      </c>
      <c r="E56" s="5"/>
      <c r="F56" s="5"/>
      <c r="G56" s="5"/>
      <c r="H56" s="5"/>
      <c r="I56" s="5"/>
      <c r="J56" s="5"/>
      <c r="K56" s="5"/>
    </row>
    <row r="57" spans="2:11" ht="36">
      <c r="B57" s="2422"/>
      <c r="C57" s="72"/>
      <c r="D57" s="36" t="s">
        <v>1080</v>
      </c>
      <c r="E57" s="5"/>
      <c r="F57" s="5"/>
      <c r="G57" s="5"/>
      <c r="H57" s="5"/>
      <c r="I57" s="5"/>
      <c r="J57" s="5"/>
      <c r="K57" s="5"/>
    </row>
    <row r="58" spans="2:11">
      <c r="B58" s="2422"/>
      <c r="C58" s="72"/>
      <c r="D58" s="43" t="s">
        <v>833</v>
      </c>
      <c r="E58" s="5"/>
      <c r="F58" s="5"/>
      <c r="G58" s="5"/>
      <c r="H58" s="5"/>
      <c r="I58" s="5"/>
      <c r="J58" s="5"/>
      <c r="K58" s="5"/>
    </row>
    <row r="59" spans="2:11">
      <c r="B59" s="2422"/>
      <c r="C59" s="72"/>
      <c r="D59" s="36" t="s">
        <v>1081</v>
      </c>
      <c r="E59" s="5"/>
      <c r="F59" s="5"/>
      <c r="G59" s="5"/>
      <c r="H59" s="5"/>
      <c r="I59" s="5"/>
      <c r="J59" s="5"/>
      <c r="K59" s="5"/>
    </row>
    <row r="60" spans="2:11" ht="24">
      <c r="B60" s="2422"/>
      <c r="C60" s="72"/>
      <c r="D60" s="36" t="s">
        <v>1082</v>
      </c>
      <c r="E60" s="5"/>
      <c r="F60" s="5"/>
      <c r="G60" s="5"/>
      <c r="H60" s="5"/>
      <c r="I60" s="5"/>
      <c r="J60" s="5"/>
      <c r="K60" s="5"/>
    </row>
    <row r="61" spans="2:11">
      <c r="B61" s="2422"/>
      <c r="C61" s="72"/>
      <c r="D61" s="36" t="s">
        <v>1083</v>
      </c>
      <c r="E61" s="5"/>
      <c r="F61" s="5"/>
      <c r="G61" s="5"/>
      <c r="H61" s="5"/>
      <c r="I61" s="5"/>
      <c r="J61" s="5"/>
      <c r="K61" s="5"/>
    </row>
    <row r="62" spans="2:11" ht="24">
      <c r="B62" s="2422"/>
      <c r="C62" s="72"/>
      <c r="D62" s="36" t="s">
        <v>1084</v>
      </c>
      <c r="E62" s="5"/>
      <c r="F62" s="5"/>
      <c r="G62" s="5"/>
      <c r="H62" s="5"/>
      <c r="I62" s="5"/>
      <c r="J62" s="5"/>
      <c r="K62" s="5"/>
    </row>
    <row r="63" spans="2:11">
      <c r="B63" s="2422"/>
      <c r="C63" s="72"/>
      <c r="D63" s="43" t="s">
        <v>1085</v>
      </c>
      <c r="E63" s="5"/>
      <c r="F63" s="5"/>
      <c r="G63" s="5"/>
      <c r="H63" s="5"/>
      <c r="I63" s="5"/>
      <c r="J63" s="5"/>
      <c r="K63" s="5"/>
    </row>
    <row r="64" spans="2:11">
      <c r="B64" s="2422"/>
      <c r="C64" s="72"/>
      <c r="D64" s="36" t="s">
        <v>1086</v>
      </c>
      <c r="E64" s="5"/>
      <c r="F64" s="5"/>
      <c r="G64" s="5"/>
      <c r="H64" s="5"/>
      <c r="I64" s="5"/>
      <c r="J64" s="5"/>
      <c r="K64" s="5"/>
    </row>
    <row r="65" spans="2:11" ht="24">
      <c r="B65" s="2422"/>
      <c r="C65" s="72"/>
      <c r="D65" s="36" t="s">
        <v>1087</v>
      </c>
      <c r="E65" s="5"/>
      <c r="F65" s="5"/>
      <c r="G65" s="5"/>
      <c r="H65" s="5"/>
      <c r="I65" s="5"/>
      <c r="J65" s="5"/>
      <c r="K65" s="5"/>
    </row>
    <row r="66" spans="2:11" ht="29.4" thickBot="1">
      <c r="B66" s="2423"/>
      <c r="C66" s="2"/>
      <c r="D66" s="206" t="s">
        <v>1088</v>
      </c>
      <c r="E66" s="5"/>
      <c r="F66" s="5"/>
      <c r="G66" s="5"/>
      <c r="H66" s="5"/>
      <c r="I66" s="5"/>
      <c r="J66" s="5"/>
      <c r="K66" s="5"/>
    </row>
    <row r="67" spans="2:11" ht="24.6" thickBot="1">
      <c r="B67" s="37" t="s">
        <v>842</v>
      </c>
      <c r="C67" s="2"/>
      <c r="D67" s="32"/>
      <c r="E67" s="5"/>
      <c r="F67" s="5"/>
      <c r="G67" s="5"/>
      <c r="H67" s="5"/>
      <c r="I67" s="5"/>
      <c r="J67" s="5"/>
      <c r="K67" s="5"/>
    </row>
    <row r="68" spans="2:11" ht="132">
      <c r="B68" s="2421" t="s">
        <v>843</v>
      </c>
      <c r="C68" s="72"/>
      <c r="D68" s="36" t="s">
        <v>1089</v>
      </c>
      <c r="E68" s="5"/>
      <c r="F68" s="5"/>
      <c r="G68" s="5"/>
      <c r="H68" s="5"/>
      <c r="I68" s="5"/>
      <c r="J68" s="5"/>
      <c r="K68" s="5"/>
    </row>
    <row r="69" spans="2:11" ht="108">
      <c r="B69" s="2422"/>
      <c r="C69" s="72"/>
      <c r="D69" s="36" t="s">
        <v>1090</v>
      </c>
      <c r="E69" s="5"/>
      <c r="F69" s="5"/>
      <c r="G69" s="5"/>
      <c r="H69" s="5"/>
      <c r="I69" s="5"/>
      <c r="J69" s="5"/>
      <c r="K69" s="5"/>
    </row>
    <row r="70" spans="2:11" ht="48">
      <c r="B70" s="2422"/>
      <c r="C70" s="72"/>
      <c r="D70" s="36" t="s">
        <v>1091</v>
      </c>
      <c r="E70" s="5"/>
      <c r="F70" s="5"/>
      <c r="G70" s="5"/>
      <c r="H70" s="5"/>
      <c r="I70" s="5"/>
      <c r="J70" s="5"/>
      <c r="K70" s="5"/>
    </row>
    <row r="71" spans="2:11">
      <c r="B71" s="2422"/>
      <c r="C71" s="72"/>
      <c r="D71" s="36" t="s">
        <v>1092</v>
      </c>
      <c r="E71" s="5"/>
      <c r="F71" s="5"/>
      <c r="G71" s="5"/>
      <c r="H71" s="5"/>
      <c r="I71" s="5"/>
      <c r="J71" s="5"/>
      <c r="K71" s="5"/>
    </row>
    <row r="72" spans="2:11" ht="48">
      <c r="B72" s="2422"/>
      <c r="C72" s="72"/>
      <c r="D72" s="51" t="s">
        <v>1093</v>
      </c>
      <c r="E72" s="5"/>
      <c r="F72" s="5"/>
      <c r="G72" s="5"/>
      <c r="H72" s="5"/>
      <c r="I72" s="5"/>
      <c r="J72" s="5"/>
      <c r="K72" s="5"/>
    </row>
    <row r="73" spans="2:11" ht="48">
      <c r="B73" s="2422"/>
      <c r="C73" s="72"/>
      <c r="D73" s="51" t="s">
        <v>1094</v>
      </c>
      <c r="E73" s="5"/>
      <c r="F73" s="5"/>
      <c r="G73" s="5"/>
      <c r="H73" s="5"/>
      <c r="I73" s="5"/>
      <c r="J73" s="5"/>
      <c r="K73" s="5"/>
    </row>
    <row r="74" spans="2:11" ht="24">
      <c r="B74" s="2422"/>
      <c r="C74" s="72"/>
      <c r="D74" s="51" t="s">
        <v>1095</v>
      </c>
      <c r="E74" s="5"/>
      <c r="F74" s="5"/>
      <c r="G74" s="5"/>
      <c r="H74" s="5"/>
      <c r="I74" s="5"/>
      <c r="J74" s="5"/>
      <c r="K74" s="5"/>
    </row>
    <row r="75" spans="2:11" ht="24">
      <c r="B75" s="2422"/>
      <c r="C75" s="72"/>
      <c r="D75" s="51" t="s">
        <v>1096</v>
      </c>
      <c r="E75" s="5"/>
      <c r="F75" s="5"/>
      <c r="G75" s="5"/>
      <c r="H75" s="5"/>
      <c r="I75" s="5"/>
      <c r="J75" s="5"/>
      <c r="K75" s="5"/>
    </row>
    <row r="76" spans="2:11" ht="36">
      <c r="B76" s="2422"/>
      <c r="C76" s="72"/>
      <c r="D76" s="51" t="s">
        <v>1097</v>
      </c>
      <c r="E76" s="5"/>
      <c r="F76" s="5"/>
      <c r="G76" s="5"/>
      <c r="H76" s="5"/>
      <c r="I76" s="5"/>
      <c r="J76" s="5"/>
      <c r="K76" s="5"/>
    </row>
    <row r="77" spans="2:11" ht="36.6" thickBot="1">
      <c r="B77" s="2423"/>
      <c r="C77" s="2"/>
      <c r="D77" s="52" t="s">
        <v>1098</v>
      </c>
      <c r="E77" s="5"/>
      <c r="F77" s="5"/>
      <c r="G77" s="5"/>
      <c r="H77" s="5"/>
      <c r="I77" s="5"/>
      <c r="J77" s="5"/>
      <c r="K77" s="5"/>
    </row>
    <row r="78" spans="2:11">
      <c r="B78" s="2421" t="s">
        <v>860</v>
      </c>
      <c r="C78" s="72"/>
      <c r="D78" s="36"/>
      <c r="E78" s="5"/>
      <c r="F78" s="5"/>
      <c r="G78" s="5"/>
      <c r="H78" s="5"/>
      <c r="I78" s="5"/>
      <c r="J78" s="5"/>
      <c r="K78" s="5"/>
    </row>
    <row r="79" spans="2:11">
      <c r="B79" s="2422"/>
      <c r="C79" s="72"/>
      <c r="D79" s="13"/>
      <c r="E79" s="5"/>
      <c r="F79" s="5"/>
      <c r="G79" s="5"/>
      <c r="H79" s="5"/>
      <c r="I79" s="5"/>
      <c r="J79" s="5"/>
      <c r="K79" s="5"/>
    </row>
    <row r="80" spans="2:11">
      <c r="B80" s="2422"/>
      <c r="C80" s="72"/>
      <c r="D80" s="36" t="s">
        <v>861</v>
      </c>
      <c r="E80" s="5"/>
      <c r="F80" s="5"/>
      <c r="G80" s="5"/>
      <c r="H80" s="5"/>
      <c r="I80" s="5"/>
      <c r="J80" s="5"/>
      <c r="K80" s="5"/>
    </row>
    <row r="81" spans="2:11" ht="38.4">
      <c r="B81" s="2422"/>
      <c r="C81" s="72"/>
      <c r="D81" s="36" t="s">
        <v>1099</v>
      </c>
      <c r="E81" s="5"/>
      <c r="F81" s="5"/>
      <c r="G81" s="5"/>
      <c r="H81" s="5"/>
      <c r="I81" s="5"/>
      <c r="J81" s="5"/>
      <c r="K81" s="5"/>
    </row>
    <row r="82" spans="2:11" ht="50.4">
      <c r="B82" s="2422"/>
      <c r="C82" s="72"/>
      <c r="D82" s="36" t="s">
        <v>1100</v>
      </c>
      <c r="E82" s="5"/>
      <c r="F82" s="5"/>
      <c r="G82" s="5"/>
      <c r="H82" s="5"/>
      <c r="I82" s="5"/>
      <c r="J82" s="5"/>
      <c r="K82" s="5"/>
    </row>
    <row r="83" spans="2:11" ht="39" thickBot="1">
      <c r="B83" s="2423"/>
      <c r="C83" s="2"/>
      <c r="D83" s="32" t="s">
        <v>1101</v>
      </c>
      <c r="E83" s="5"/>
      <c r="F83" s="5"/>
      <c r="G83" s="5"/>
      <c r="H83" s="5"/>
      <c r="I83" s="5"/>
      <c r="J83" s="5"/>
      <c r="K83" s="5"/>
    </row>
  </sheetData>
  <mergeCells count="30">
    <mergeCell ref="D15:I15"/>
    <mergeCell ref="D20:I20"/>
    <mergeCell ref="E21:E22"/>
    <mergeCell ref="B15:B20"/>
    <mergeCell ref="F21:F22"/>
    <mergeCell ref="B10:D10"/>
    <mergeCell ref="F10:S10"/>
    <mergeCell ref="F11:S11"/>
    <mergeCell ref="E12:R12"/>
    <mergeCell ref="E13:R13"/>
    <mergeCell ref="B53:D53"/>
    <mergeCell ref="B55:B66"/>
    <mergeCell ref="B68:B77"/>
    <mergeCell ref="B78:B83"/>
    <mergeCell ref="C21:C22"/>
    <mergeCell ref="D21:D22"/>
    <mergeCell ref="B38:B44"/>
    <mergeCell ref="B51:E51"/>
    <mergeCell ref="D26:I26"/>
    <mergeCell ref="B28:E28"/>
    <mergeCell ref="B29:B35"/>
    <mergeCell ref="B37:E37"/>
    <mergeCell ref="G21:H22"/>
    <mergeCell ref="G23:H23"/>
    <mergeCell ref="D25:I25"/>
    <mergeCell ref="A1:P1"/>
    <mergeCell ref="A2:P2"/>
    <mergeCell ref="A3:P3"/>
    <mergeCell ref="A4:D4"/>
    <mergeCell ref="A5:P5"/>
  </mergeCells>
  <conditionalFormatting sqref="E12:R12">
    <cfRule type="expression" dxfId="101" priority="1">
      <formula>E11="SI SE REPORTA"</formula>
    </cfRule>
  </conditionalFormatting>
  <conditionalFormatting sqref="F10">
    <cfRule type="notContainsBlanks" dxfId="100" priority="4">
      <formula>LEN(TRIM(F10))&gt;0</formula>
    </cfRule>
  </conditionalFormatting>
  <conditionalFormatting sqref="F11:S11">
    <cfRule type="expression" dxfId="99" priority="2">
      <formula>E11="NO SE REPORTA"</formula>
    </cfRule>
    <cfRule type="expression" dxfId="98"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E24" xr:uid="{00000000-0002-0000-0B00-000000000000}">
      <formula1>0</formula1>
    </dataValidation>
    <dataValidation type="list" allowBlank="1" showInputMessage="1" showErrorMessage="1" sqref="E11" xr:uid="{00000000-0002-0000-0B00-000001000000}">
      <formula1>REPORTE</formula1>
    </dataValidation>
    <dataValidation type="list" allowBlank="1" showInputMessage="1" showErrorMessage="1" sqref="E10" xr:uid="{00000000-0002-0000-0B00-000002000000}">
      <formula1>SI</formula1>
    </dataValidation>
  </dataValidations>
  <hyperlinks>
    <hyperlink ref="D66" r:id="rId1" display="http://cambioclimatico.minambiente.gov.co/" xr:uid="{00000000-0004-0000-0B00-000000000000}"/>
    <hyperlink ref="B9" location="'ANEXO 3'!A1" display="VOLVER AL INDICE" xr:uid="{00000000-0004-0000-0B00-000001000000}"/>
    <hyperlink ref="E33" r:id="rId2" xr:uid="{00000000-0004-0000-0B00-000002000000}"/>
  </hyperlinks>
  <pageMargins left="0.25" right="0.25" top="0.75" bottom="0.75" header="0.3" footer="0.3"/>
  <pageSetup paperSize="178" orientation="landscape" horizontalDpi="1200" verticalDpi="12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8"/>
  <dimension ref="A1:U88"/>
  <sheetViews>
    <sheetView topLeftCell="A13" workbookViewId="0">
      <selection activeCell="F25" sqref="F25"/>
    </sheetView>
  </sheetViews>
  <sheetFormatPr baseColWidth="10" defaultColWidth="11.44140625" defaultRowHeight="14.4"/>
  <cols>
    <col min="1" max="1" width="1.88671875" customWidth="1"/>
    <col min="2" max="2" width="12.88671875" customWidth="1"/>
    <col min="3" max="3" width="7.88671875" style="65" customWidth="1"/>
    <col min="4" max="4" width="40.44140625" customWidth="1"/>
    <col min="5" max="5" width="20" customWidth="1"/>
    <col min="7" max="7" width="12.44140625" bestFit="1" customWidth="1"/>
    <col min="8" max="8" width="13.33203125" bestFit="1" customWidth="1"/>
    <col min="9" max="9" width="12.6640625" customWidth="1"/>
    <col min="11" max="11" width="34"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15</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539">
        <v>2025</v>
      </c>
      <c r="D8" s="164">
        <f>IF(E10="NO APLICA","NO APLICA",IF(E11="NO SE REPORTA","SIN INFORMACION",+F19))</f>
        <v>1</v>
      </c>
      <c r="E8" s="161"/>
      <c r="F8" s="5" t="s">
        <v>740</v>
      </c>
      <c r="G8" s="5"/>
      <c r="H8" s="5"/>
      <c r="I8" s="5"/>
      <c r="J8" s="5"/>
      <c r="K8" s="5"/>
    </row>
    <row r="9" spans="1:21">
      <c r="B9" s="290" t="s">
        <v>741</v>
      </c>
      <c r="D9" s="5"/>
      <c r="E9" s="5"/>
      <c r="F9" s="5"/>
      <c r="G9" s="5"/>
      <c r="H9" s="5"/>
      <c r="I9" s="5"/>
      <c r="J9" s="5"/>
      <c r="K9" s="5"/>
    </row>
    <row r="10" spans="1:21" ht="21.75" customHeight="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8.75" customHeight="1">
      <c r="B11" s="292"/>
      <c r="C11" s="66"/>
      <c r="D11" s="141" t="str">
        <f>IF(E10="SI APLICA","¿El indicador no se reporta por limitaciones de información disponible? ","")</f>
        <v xml:space="preserve">¿El indicador no se reporta por limitaciones de información disponible? </v>
      </c>
      <c r="E11" s="294" t="s">
        <v>744</v>
      </c>
      <c r="F11" s="2396" t="s">
        <v>899</v>
      </c>
      <c r="G11" s="2397"/>
      <c r="H11" s="2397"/>
      <c r="I11" s="2397"/>
      <c r="J11" s="2397"/>
      <c r="K11" s="2397"/>
      <c r="L11" s="2397"/>
      <c r="M11" s="2397"/>
      <c r="N11" s="2397"/>
      <c r="O11" s="2397"/>
      <c r="P11" s="2397"/>
      <c r="Q11" s="2397"/>
      <c r="R11" s="2397"/>
      <c r="S11" s="2397"/>
    </row>
    <row r="12" spans="1:21" ht="66.75" customHeight="1">
      <c r="B12" s="290"/>
      <c r="C12" s="66"/>
      <c r="D12" s="141" t="str">
        <f>IF(E11="SI SE REPORTA","¿Qué programas o proyectos del Plan de Acción están asociados al indicador? ","")</f>
        <v xml:space="preserve">¿Qué programas o proyectos del Plan de Acción están asociados al indicador? </v>
      </c>
      <c r="E12" s="2500" t="s">
        <v>1102</v>
      </c>
      <c r="F12" s="2500"/>
      <c r="G12" s="2500"/>
      <c r="H12" s="2500"/>
      <c r="I12" s="2500"/>
      <c r="J12" s="2500"/>
      <c r="K12" s="2500"/>
      <c r="L12" s="2500"/>
      <c r="M12" s="2500"/>
      <c r="N12" s="2500"/>
      <c r="O12" s="2500"/>
      <c r="P12" s="2500"/>
      <c r="Q12" s="2500"/>
      <c r="R12" s="2500"/>
    </row>
    <row r="13" spans="1:21" ht="39" customHeight="1">
      <c r="B13" s="290"/>
      <c r="C13" s="66"/>
      <c r="D13" s="141" t="s">
        <v>746</v>
      </c>
      <c r="E13" s="2501" t="s">
        <v>2138</v>
      </c>
      <c r="F13" s="2502"/>
      <c r="G13" s="2502"/>
      <c r="H13" s="2502"/>
      <c r="I13" s="2502"/>
      <c r="J13" s="2502"/>
      <c r="K13" s="2502"/>
      <c r="L13" s="2502"/>
      <c r="M13" s="2502"/>
      <c r="N13" s="2502"/>
      <c r="O13" s="2502"/>
      <c r="P13" s="2502"/>
      <c r="Q13" s="2502"/>
      <c r="R13" s="2503"/>
    </row>
    <row r="14" spans="1:21" ht="14.25" customHeight="1" thickBot="1">
      <c r="B14" s="290"/>
      <c r="D14" s="5"/>
      <c r="E14" s="5"/>
      <c r="F14" s="5"/>
      <c r="G14" s="5"/>
      <c r="H14" s="5"/>
      <c r="I14" s="5"/>
      <c r="J14" s="5"/>
      <c r="K14" s="5"/>
    </row>
    <row r="15" spans="1:21" ht="15.6" customHeight="1" thickTop="1" thickBot="1">
      <c r="B15" s="2548" t="s">
        <v>747</v>
      </c>
      <c r="C15" s="67"/>
      <c r="D15" s="2412" t="s">
        <v>1103</v>
      </c>
      <c r="E15" s="2413"/>
      <c r="F15" s="2413"/>
      <c r="G15" s="2413"/>
      <c r="H15" s="2413"/>
      <c r="I15" s="2413"/>
      <c r="J15" s="2413"/>
      <c r="K15" s="2414"/>
    </row>
    <row r="16" spans="1:21" ht="15" thickBot="1">
      <c r="A16" s="148"/>
      <c r="B16" s="2453"/>
      <c r="C16" s="76" t="s">
        <v>698</v>
      </c>
      <c r="D16" s="76" t="s">
        <v>1104</v>
      </c>
      <c r="E16" s="76" t="s">
        <v>592</v>
      </c>
      <c r="F16" s="76" t="s">
        <v>593</v>
      </c>
      <c r="G16" s="76" t="s">
        <v>594</v>
      </c>
      <c r="H16" s="76" t="s">
        <v>595</v>
      </c>
      <c r="I16" s="167"/>
      <c r="J16" s="148"/>
      <c r="K16" s="17"/>
    </row>
    <row r="17" spans="2:11" ht="24.6" thickBot="1">
      <c r="B17" s="2453"/>
      <c r="C17" s="2" t="s">
        <v>906</v>
      </c>
      <c r="D17" s="32" t="s">
        <v>1105</v>
      </c>
      <c r="E17" s="496">
        <v>0</v>
      </c>
      <c r="F17" s="496">
        <v>20</v>
      </c>
      <c r="G17" s="496">
        <v>20</v>
      </c>
      <c r="H17" s="496">
        <v>20</v>
      </c>
      <c r="I17" s="497"/>
      <c r="J17" s="148"/>
      <c r="K17" s="17"/>
    </row>
    <row r="18" spans="2:11" ht="24.6" thickBot="1">
      <c r="B18" s="2453"/>
      <c r="C18" s="2" t="s">
        <v>908</v>
      </c>
      <c r="D18" s="32" t="s">
        <v>1106</v>
      </c>
      <c r="E18" s="496">
        <v>0</v>
      </c>
      <c r="F18" s="496">
        <v>20</v>
      </c>
      <c r="G18" s="496"/>
      <c r="H18" s="496"/>
      <c r="I18" s="497"/>
      <c r="J18" s="148"/>
      <c r="K18" s="17"/>
    </row>
    <row r="19" spans="2:11" ht="24.6" thickBot="1">
      <c r="B19" s="2453"/>
      <c r="C19" s="2" t="s">
        <v>910</v>
      </c>
      <c r="D19" s="32" t="s">
        <v>1107</v>
      </c>
      <c r="E19" s="475" t="str">
        <f>IFERROR(E18/E17,"N.A.")</f>
        <v>N.A.</v>
      </c>
      <c r="F19" s="475">
        <f>IFERROR(F18/F17,"N.A.")</f>
        <v>1</v>
      </c>
      <c r="G19" s="475">
        <f>IFERROR(G18/G17,"N.A.")</f>
        <v>0</v>
      </c>
      <c r="H19" s="475">
        <f>IFERROR(H18/H17,"N.A.")</f>
        <v>0</v>
      </c>
      <c r="I19" s="475"/>
      <c r="K19" s="17"/>
    </row>
    <row r="20" spans="2:11">
      <c r="B20" s="168"/>
      <c r="C20" s="70"/>
      <c r="D20" s="2561" t="s">
        <v>1108</v>
      </c>
      <c r="E20" s="2562"/>
      <c r="F20" s="2562"/>
      <c r="G20" s="2562"/>
      <c r="H20" s="2562"/>
      <c r="I20" s="2562"/>
      <c r="J20" s="2562"/>
      <c r="K20" s="2563"/>
    </row>
    <row r="21" spans="2:11">
      <c r="B21" s="168"/>
      <c r="C21" s="70"/>
      <c r="D21" s="2415" t="s">
        <v>1021</v>
      </c>
      <c r="E21" s="2416"/>
      <c r="F21" s="2416"/>
      <c r="G21" s="2416"/>
      <c r="H21" s="2416"/>
      <c r="I21" s="2416"/>
      <c r="J21" s="2416"/>
      <c r="K21" s="2417"/>
    </row>
    <row r="22" spans="2:11">
      <c r="B22" s="168"/>
      <c r="C22" s="70"/>
      <c r="D22" s="2415" t="s">
        <v>1109</v>
      </c>
      <c r="E22" s="2416"/>
      <c r="F22" s="2416"/>
      <c r="G22" s="2416"/>
      <c r="H22" s="2416"/>
      <c r="I22" s="2416"/>
      <c r="J22" s="2416"/>
      <c r="K22" s="2417"/>
    </row>
    <row r="23" spans="2:11" ht="15" thickBot="1">
      <c r="B23" s="168"/>
      <c r="C23" s="70"/>
      <c r="D23" s="2434" t="s">
        <v>1110</v>
      </c>
      <c r="E23" s="2435"/>
      <c r="F23" s="2435"/>
      <c r="G23" s="2435"/>
      <c r="H23" s="2435"/>
      <c r="I23" s="2435"/>
      <c r="J23" s="2435"/>
      <c r="K23" s="2436"/>
    </row>
    <row r="24" spans="2:11" ht="36.6" thickBot="1">
      <c r="B24" s="168"/>
      <c r="C24" s="76" t="s">
        <v>698</v>
      </c>
      <c r="D24" s="34" t="s">
        <v>1023</v>
      </c>
      <c r="E24" s="34" t="s">
        <v>1111</v>
      </c>
      <c r="F24" s="76" t="s">
        <v>1112</v>
      </c>
      <c r="G24" s="34" t="s">
        <v>1113</v>
      </c>
      <c r="H24" s="34" t="s">
        <v>1114</v>
      </c>
      <c r="I24" s="34" t="s">
        <v>1027</v>
      </c>
      <c r="J24" s="34" t="s">
        <v>1028</v>
      </c>
      <c r="K24" s="34" t="s">
        <v>702</v>
      </c>
    </row>
    <row r="25" spans="2:11" s="148" customFormat="1" ht="60.75" customHeight="1" thickBot="1">
      <c r="B25" s="165"/>
      <c r="C25" s="169">
        <v>2</v>
      </c>
      <c r="D25" s="491" t="s">
        <v>2060</v>
      </c>
      <c r="E25" s="491" t="s">
        <v>1115</v>
      </c>
      <c r="F25" s="496">
        <v>20</v>
      </c>
      <c r="G25" s="675">
        <v>486000000</v>
      </c>
      <c r="H25" s="675">
        <v>486000000</v>
      </c>
      <c r="I25" s="675">
        <v>486000000</v>
      </c>
      <c r="J25" s="676">
        <v>35304692</v>
      </c>
      <c r="K25" s="620" t="s">
        <v>2061</v>
      </c>
    </row>
    <row r="26" spans="2:11" ht="23.25" customHeight="1" thickBot="1">
      <c r="B26" s="37"/>
      <c r="C26" s="2"/>
      <c r="D26" s="57" t="s">
        <v>905</v>
      </c>
      <c r="E26" s="57"/>
      <c r="F26" s="637">
        <f>SUM(F25:F25)</f>
        <v>20</v>
      </c>
      <c r="G26" s="637">
        <f>SUM(G25:G25)</f>
        <v>486000000</v>
      </c>
      <c r="H26" s="637">
        <f>SUM(H25:H25)</f>
        <v>486000000</v>
      </c>
      <c r="I26" s="637">
        <f>SUM(I25:I25)</f>
        <v>486000000</v>
      </c>
      <c r="J26" s="637">
        <f>SUM(J25:J25)</f>
        <v>35304692</v>
      </c>
      <c r="K26" s="9"/>
    </row>
    <row r="27" spans="2:11" ht="24" customHeight="1" thickBot="1">
      <c r="B27" s="60" t="s">
        <v>803</v>
      </c>
      <c r="C27" s="85"/>
      <c r="D27" s="2424" t="s">
        <v>1116</v>
      </c>
      <c r="E27" s="2425"/>
      <c r="F27" s="2425"/>
      <c r="G27" s="2425"/>
      <c r="H27" s="2425"/>
      <c r="I27" s="2425"/>
      <c r="J27" s="2425"/>
      <c r="K27" s="2426"/>
    </row>
    <row r="28" spans="2:11" ht="24" customHeight="1" thickBot="1">
      <c r="B28" s="60" t="s">
        <v>805</v>
      </c>
      <c r="C28" s="85"/>
      <c r="D28" s="2424" t="s">
        <v>1117</v>
      </c>
      <c r="E28" s="2425"/>
      <c r="F28" s="2425"/>
      <c r="G28" s="2425"/>
      <c r="H28" s="2425"/>
      <c r="I28" s="2425"/>
      <c r="J28" s="2425"/>
      <c r="K28" s="2426"/>
    </row>
    <row r="29" spans="2:11" ht="15" thickBot="1">
      <c r="B29" s="1"/>
      <c r="C29" s="63"/>
      <c r="D29" s="5"/>
      <c r="E29" s="5"/>
      <c r="F29" s="5"/>
      <c r="G29" s="5"/>
      <c r="H29" s="5"/>
      <c r="I29" s="5"/>
      <c r="J29" s="5"/>
      <c r="K29" s="5"/>
    </row>
    <row r="30" spans="2:11" ht="24" customHeight="1" thickBot="1">
      <c r="B30" s="2431" t="s">
        <v>807</v>
      </c>
      <c r="C30" s="2432"/>
      <c r="D30" s="2432"/>
      <c r="E30" s="2433"/>
      <c r="F30" s="5"/>
      <c r="G30" s="5"/>
      <c r="H30" s="5"/>
      <c r="I30" s="5"/>
      <c r="J30" s="5"/>
      <c r="K30" s="5"/>
    </row>
    <row r="31" spans="2:11" ht="15" thickBot="1">
      <c r="B31" s="2421">
        <v>1</v>
      </c>
      <c r="C31" s="72"/>
      <c r="D31" s="38" t="s">
        <v>808</v>
      </c>
      <c r="E31" s="25" t="s">
        <v>809</v>
      </c>
      <c r="F31" s="5"/>
      <c r="G31" s="5"/>
      <c r="H31" s="5"/>
      <c r="I31" s="5"/>
      <c r="J31" s="5"/>
      <c r="K31" s="5"/>
    </row>
    <row r="32" spans="2:11" ht="24.6" thickBot="1">
      <c r="B32" s="2422"/>
      <c r="C32" s="72"/>
      <c r="D32" s="32" t="s">
        <v>528</v>
      </c>
      <c r="E32" s="24" t="s">
        <v>810</v>
      </c>
      <c r="F32" s="5"/>
      <c r="G32" s="5"/>
      <c r="H32" s="5"/>
      <c r="I32" s="5"/>
      <c r="J32" s="5"/>
      <c r="K32" s="5"/>
    </row>
    <row r="33" spans="2:11" ht="15" thickBot="1">
      <c r="B33" s="2422"/>
      <c r="C33" s="72"/>
      <c r="D33" s="32" t="s">
        <v>811</v>
      </c>
      <c r="E33" s="24" t="s">
        <v>915</v>
      </c>
      <c r="F33" s="5"/>
      <c r="G33" s="5"/>
      <c r="H33" s="5"/>
      <c r="I33" s="5"/>
      <c r="J33" s="5"/>
      <c r="K33" s="5"/>
    </row>
    <row r="34" spans="2:11" ht="24.6" thickBot="1">
      <c r="B34" s="2422"/>
      <c r="C34" s="72"/>
      <c r="D34" s="32" t="s">
        <v>531</v>
      </c>
      <c r="E34" s="24" t="s">
        <v>813</v>
      </c>
      <c r="F34" s="5"/>
      <c r="G34" s="5"/>
      <c r="H34" s="5"/>
      <c r="I34" s="5"/>
      <c r="J34" s="5"/>
      <c r="K34" s="5"/>
    </row>
    <row r="35" spans="2:11" ht="29.4" thickBot="1">
      <c r="B35" s="2422"/>
      <c r="C35" s="72"/>
      <c r="D35" s="32" t="s">
        <v>534</v>
      </c>
      <c r="E35" s="490" t="s">
        <v>814</v>
      </c>
      <c r="F35" s="5"/>
      <c r="G35" s="5"/>
      <c r="H35" s="5"/>
      <c r="I35" s="5"/>
      <c r="J35" s="5"/>
      <c r="K35" s="5"/>
    </row>
    <row r="36" spans="2:11" ht="15" thickBot="1">
      <c r="B36" s="2422"/>
      <c r="C36" s="72"/>
      <c r="D36" s="32" t="s">
        <v>537</v>
      </c>
      <c r="E36" s="131">
        <v>3686626</v>
      </c>
      <c r="F36" s="5"/>
      <c r="G36" s="5"/>
      <c r="H36" s="5"/>
      <c r="I36" s="5"/>
      <c r="J36" s="5"/>
      <c r="K36" s="5"/>
    </row>
    <row r="37" spans="2:11" ht="15" thickBot="1">
      <c r="B37" s="2423"/>
      <c r="C37" s="2"/>
      <c r="D37" s="32" t="s">
        <v>815</v>
      </c>
      <c r="E37" s="24" t="s">
        <v>816</v>
      </c>
      <c r="F37" s="5"/>
      <c r="G37" s="5"/>
      <c r="H37" s="5"/>
      <c r="I37" s="5"/>
      <c r="J37" s="5"/>
      <c r="K37" s="5"/>
    </row>
    <row r="38" spans="2:11" ht="15" thickBot="1">
      <c r="B38" s="1"/>
      <c r="C38" s="63"/>
      <c r="D38" s="5"/>
      <c r="E38" s="5"/>
      <c r="F38" s="5"/>
      <c r="G38" s="5"/>
      <c r="H38" s="5"/>
      <c r="I38" s="5"/>
      <c r="J38" s="5"/>
      <c r="K38" s="5"/>
    </row>
    <row r="39" spans="2:11" ht="15" thickBot="1">
      <c r="B39" s="2431" t="s">
        <v>817</v>
      </c>
      <c r="C39" s="2432"/>
      <c r="D39" s="2432"/>
      <c r="E39" s="2433"/>
      <c r="F39" s="5"/>
      <c r="G39" s="5"/>
      <c r="H39" s="5"/>
      <c r="I39" s="5"/>
      <c r="J39" s="5"/>
      <c r="K39" s="5"/>
    </row>
    <row r="40" spans="2:11" ht="36" customHeight="1" thickBot="1">
      <c r="B40" s="2421">
        <v>1</v>
      </c>
      <c r="C40" s="72"/>
      <c r="D40" s="38" t="s">
        <v>808</v>
      </c>
      <c r="E40" s="28" t="s">
        <v>818</v>
      </c>
      <c r="F40" s="5"/>
      <c r="G40" s="5"/>
      <c r="H40" s="5"/>
      <c r="I40" s="5"/>
      <c r="J40" s="5"/>
      <c r="K40" s="5"/>
    </row>
    <row r="41" spans="2:11" ht="48.6" thickBot="1">
      <c r="B41" s="2422"/>
      <c r="C41" s="72"/>
      <c r="D41" s="32" t="s">
        <v>528</v>
      </c>
      <c r="E41" s="28" t="s">
        <v>916</v>
      </c>
      <c r="F41" s="5"/>
      <c r="G41" s="5"/>
      <c r="H41" s="5"/>
      <c r="I41" s="5"/>
      <c r="J41" s="5"/>
      <c r="K41" s="5"/>
    </row>
    <row r="42" spans="2:11" ht="15" thickBot="1">
      <c r="B42" s="2422"/>
      <c r="C42" s="72"/>
      <c r="D42" s="32" t="s">
        <v>811</v>
      </c>
      <c r="E42" s="187"/>
      <c r="F42" s="5"/>
      <c r="G42" s="5"/>
      <c r="H42" s="5"/>
      <c r="I42" s="5"/>
      <c r="J42" s="5"/>
      <c r="K42" s="5"/>
    </row>
    <row r="43" spans="2:11" ht="15" thickBot="1">
      <c r="B43" s="2422"/>
      <c r="C43" s="72"/>
      <c r="D43" s="32" t="s">
        <v>531</v>
      </c>
      <c r="E43" s="187"/>
      <c r="F43" s="5"/>
      <c r="G43" s="5"/>
      <c r="H43" s="5"/>
      <c r="I43" s="5"/>
      <c r="J43" s="5"/>
      <c r="K43" s="5"/>
    </row>
    <row r="44" spans="2:11" ht="15" thickBot="1">
      <c r="B44" s="2422"/>
      <c r="C44" s="72"/>
      <c r="D44" s="32" t="s">
        <v>534</v>
      </c>
      <c r="E44" s="187"/>
      <c r="F44" s="5"/>
      <c r="G44" s="5"/>
      <c r="H44" s="5"/>
      <c r="I44" s="5"/>
      <c r="J44" s="5"/>
      <c r="K44" s="5"/>
    </row>
    <row r="45" spans="2:11" ht="15" thickBot="1">
      <c r="B45" s="2422"/>
      <c r="C45" s="72"/>
      <c r="D45" s="32" t="s">
        <v>537</v>
      </c>
      <c r="E45" s="187"/>
      <c r="F45" s="5"/>
      <c r="G45" s="5"/>
      <c r="H45" s="5"/>
      <c r="I45" s="5"/>
      <c r="J45" s="5"/>
      <c r="K45" s="5"/>
    </row>
    <row r="46" spans="2:11" ht="15" thickBot="1">
      <c r="B46" s="2423"/>
      <c r="C46" s="2"/>
      <c r="D46" s="32" t="s">
        <v>815</v>
      </c>
      <c r="E46" s="187"/>
      <c r="F46" s="5"/>
      <c r="G46" s="5"/>
      <c r="H46" s="5"/>
      <c r="I46" s="5"/>
      <c r="J46" s="5"/>
      <c r="K46" s="5"/>
    </row>
    <row r="47" spans="2:11" ht="15" thickBot="1">
      <c r="B47" s="1"/>
      <c r="C47" s="63"/>
      <c r="D47" s="5"/>
      <c r="E47" s="5"/>
      <c r="F47" s="5"/>
      <c r="G47" s="5"/>
      <c r="H47" s="5"/>
      <c r="I47" s="5"/>
      <c r="J47" s="5"/>
      <c r="K47" s="5"/>
    </row>
    <row r="48" spans="2:11" ht="15" customHeight="1" thickBot="1">
      <c r="B48" s="96" t="s">
        <v>820</v>
      </c>
      <c r="C48" s="97"/>
      <c r="D48" s="97"/>
      <c r="E48" s="98"/>
      <c r="G48" s="5"/>
      <c r="H48" s="5"/>
      <c r="I48" s="5"/>
      <c r="J48" s="5"/>
      <c r="K48" s="5"/>
    </row>
    <row r="49" spans="2:11" ht="15" thickBot="1">
      <c r="B49" s="37" t="s">
        <v>821</v>
      </c>
      <c r="C49" s="32" t="s">
        <v>822</v>
      </c>
      <c r="D49" s="32" t="s">
        <v>823</v>
      </c>
      <c r="E49" s="32" t="s">
        <v>824</v>
      </c>
      <c r="F49" s="5"/>
      <c r="G49" s="5"/>
      <c r="H49" s="5"/>
      <c r="I49" s="5"/>
      <c r="J49" s="5"/>
    </row>
    <row r="50" spans="2:11" ht="60.6" thickBot="1">
      <c r="B50" s="39">
        <v>42401</v>
      </c>
      <c r="C50" s="32">
        <v>0.01</v>
      </c>
      <c r="D50" s="40" t="s">
        <v>1118</v>
      </c>
      <c r="E50" s="32"/>
      <c r="F50" s="5"/>
      <c r="G50" s="5"/>
      <c r="H50" s="5"/>
      <c r="I50" s="5"/>
      <c r="J50" s="5"/>
    </row>
    <row r="51" spans="2:11" ht="15" thickBot="1">
      <c r="B51" s="3"/>
      <c r="C51" s="73"/>
      <c r="D51" s="5"/>
      <c r="E51" s="5"/>
      <c r="F51" s="5"/>
      <c r="G51" s="5"/>
      <c r="H51" s="5"/>
      <c r="I51" s="5"/>
      <c r="J51" s="5"/>
      <c r="K51" s="5"/>
    </row>
    <row r="52" spans="2:11" ht="15" thickBot="1">
      <c r="B52" s="105" t="s">
        <v>702</v>
      </c>
      <c r="C52" s="74"/>
      <c r="D52" s="5"/>
      <c r="E52" s="5"/>
      <c r="F52" s="5"/>
      <c r="G52" s="5"/>
      <c r="H52" s="5"/>
      <c r="I52" s="5"/>
      <c r="J52" s="5"/>
      <c r="K52" s="5"/>
    </row>
    <row r="53" spans="2:11">
      <c r="B53" s="2513"/>
      <c r="C53" s="2514"/>
      <c r="D53" s="2514"/>
      <c r="E53" s="2515"/>
      <c r="F53" s="5"/>
      <c r="G53" s="5"/>
      <c r="H53" s="5"/>
      <c r="I53" s="5"/>
      <c r="J53" s="5"/>
      <c r="K53" s="5"/>
    </row>
    <row r="54" spans="2:11" ht="15" thickBot="1">
      <c r="B54" s="2516"/>
      <c r="C54" s="2517"/>
      <c r="D54" s="2517"/>
      <c r="E54" s="2518"/>
      <c r="F54" s="5"/>
      <c r="G54" s="5"/>
      <c r="H54" s="5"/>
      <c r="I54" s="5"/>
      <c r="J54" s="5"/>
      <c r="K54" s="5"/>
    </row>
    <row r="55" spans="2:11" ht="15" thickBot="1">
      <c r="B55" s="5"/>
      <c r="D55" s="5"/>
      <c r="E55" s="5"/>
      <c r="F55" s="5"/>
      <c r="G55" s="5"/>
      <c r="H55" s="5"/>
      <c r="I55" s="5"/>
      <c r="J55" s="5"/>
      <c r="K55" s="5"/>
    </row>
    <row r="56" spans="2:11" ht="24.6" thickBot="1">
      <c r="B56" s="41" t="s">
        <v>826</v>
      </c>
      <c r="C56" s="75"/>
      <c r="D56" s="5"/>
      <c r="E56" s="5"/>
      <c r="F56" s="5"/>
      <c r="G56" s="5"/>
      <c r="H56" s="5"/>
      <c r="I56" s="5"/>
      <c r="J56" s="5"/>
      <c r="K56" s="5"/>
    </row>
    <row r="57" spans="2:11" ht="15" thickBot="1">
      <c r="B57" s="29"/>
      <c r="C57" s="66"/>
      <c r="D57" s="5"/>
      <c r="E57" s="5"/>
      <c r="F57" s="5"/>
      <c r="G57" s="5"/>
      <c r="H57" s="5"/>
      <c r="I57" s="5"/>
      <c r="J57" s="5"/>
      <c r="K57" s="5"/>
    </row>
    <row r="58" spans="2:11" ht="48.6" thickBot="1">
      <c r="B58" s="42" t="s">
        <v>827</v>
      </c>
      <c r="C58" s="76"/>
      <c r="D58" s="34" t="s">
        <v>1119</v>
      </c>
      <c r="E58" s="5"/>
      <c r="F58" s="5"/>
      <c r="G58" s="5"/>
      <c r="H58" s="5"/>
      <c r="I58" s="5"/>
      <c r="J58" s="5"/>
      <c r="K58" s="5"/>
    </row>
    <row r="59" spans="2:11">
      <c r="B59" s="2421" t="s">
        <v>829</v>
      </c>
      <c r="C59" s="72"/>
      <c r="D59" s="43" t="s">
        <v>830</v>
      </c>
      <c r="E59" s="5"/>
      <c r="F59" s="5"/>
      <c r="G59" s="5"/>
      <c r="H59" s="5"/>
      <c r="I59" s="5"/>
      <c r="J59" s="5"/>
      <c r="K59" s="5"/>
    </row>
    <row r="60" spans="2:11" ht="48">
      <c r="B60" s="2422"/>
      <c r="C60" s="72"/>
      <c r="D60" s="36" t="s">
        <v>1120</v>
      </c>
      <c r="E60" s="5"/>
      <c r="F60" s="5"/>
      <c r="G60" s="5"/>
      <c r="H60" s="5"/>
      <c r="I60" s="5"/>
      <c r="J60" s="5"/>
      <c r="K60" s="5"/>
    </row>
    <row r="61" spans="2:11">
      <c r="B61" s="2422"/>
      <c r="C61" s="72"/>
      <c r="D61" s="43" t="s">
        <v>1121</v>
      </c>
      <c r="E61" s="5"/>
      <c r="F61" s="5"/>
      <c r="G61" s="5"/>
      <c r="H61" s="5"/>
      <c r="I61" s="5"/>
      <c r="J61" s="5"/>
      <c r="K61" s="5"/>
    </row>
    <row r="62" spans="2:11">
      <c r="B62" s="2422"/>
      <c r="C62" s="72"/>
      <c r="D62" s="36" t="s">
        <v>1122</v>
      </c>
      <c r="E62" s="5"/>
      <c r="F62" s="5"/>
      <c r="G62" s="5"/>
      <c r="H62" s="5"/>
      <c r="I62" s="5"/>
      <c r="J62" s="5"/>
      <c r="K62" s="5"/>
    </row>
    <row r="63" spans="2:11" ht="48">
      <c r="B63" s="2422"/>
      <c r="C63" s="72"/>
      <c r="D63" s="36" t="s">
        <v>1123</v>
      </c>
      <c r="E63" s="5"/>
      <c r="F63" s="5"/>
      <c r="G63" s="5"/>
      <c r="H63" s="5"/>
      <c r="I63" s="5"/>
      <c r="J63" s="5"/>
      <c r="K63" s="5"/>
    </row>
    <row r="64" spans="2:11" ht="192">
      <c r="B64" s="2422"/>
      <c r="C64" s="72"/>
      <c r="D64" s="36" t="s">
        <v>1124</v>
      </c>
      <c r="E64" s="5"/>
      <c r="F64" s="5"/>
      <c r="G64" s="5"/>
      <c r="H64" s="5"/>
      <c r="I64" s="5"/>
      <c r="J64" s="5"/>
      <c r="K64" s="5"/>
    </row>
    <row r="65" spans="2:11">
      <c r="B65" s="2422"/>
      <c r="C65" s="72"/>
      <c r="D65" s="43" t="s">
        <v>1085</v>
      </c>
      <c r="E65" s="5"/>
      <c r="F65" s="5"/>
      <c r="G65" s="5"/>
      <c r="H65" s="5"/>
      <c r="I65" s="5"/>
      <c r="J65" s="5"/>
      <c r="K65" s="5"/>
    </row>
    <row r="66" spans="2:11" ht="15" thickBot="1">
      <c r="B66" s="2423"/>
      <c r="C66" s="2"/>
      <c r="D66" s="32" t="s">
        <v>1125</v>
      </c>
      <c r="E66" s="5"/>
      <c r="F66" s="5"/>
      <c r="G66" s="5"/>
      <c r="H66" s="5"/>
      <c r="I66" s="5"/>
      <c r="J66" s="5"/>
      <c r="K66" s="5"/>
    </row>
    <row r="67" spans="2:11">
      <c r="B67" s="2421" t="s">
        <v>842</v>
      </c>
      <c r="C67" s="77"/>
      <c r="D67" s="2421"/>
      <c r="E67" s="5"/>
      <c r="F67" s="5"/>
      <c r="G67" s="5"/>
      <c r="H67" s="5"/>
      <c r="I67" s="5"/>
      <c r="J67" s="5"/>
      <c r="K67" s="5"/>
    </row>
    <row r="68" spans="2:11" ht="15" thickBot="1">
      <c r="B68" s="2423"/>
      <c r="C68" s="78"/>
      <c r="D68" s="2423"/>
      <c r="E68" s="5"/>
      <c r="F68" s="5"/>
      <c r="G68" s="5"/>
      <c r="H68" s="5"/>
      <c r="I68" s="5"/>
      <c r="J68" s="5"/>
      <c r="K68" s="5"/>
    </row>
    <row r="69" spans="2:11" ht="132">
      <c r="B69" s="2421" t="s">
        <v>843</v>
      </c>
      <c r="C69" s="72"/>
      <c r="D69" s="36" t="s">
        <v>1126</v>
      </c>
      <c r="E69" s="5"/>
      <c r="F69" s="5"/>
      <c r="G69" s="5"/>
      <c r="H69" s="5"/>
      <c r="I69" s="5"/>
      <c r="J69" s="5"/>
      <c r="K69" s="5"/>
    </row>
    <row r="70" spans="2:11" ht="84">
      <c r="B70" s="2422"/>
      <c r="C70" s="72"/>
      <c r="D70" s="36" t="s">
        <v>1127</v>
      </c>
      <c r="E70" s="5"/>
      <c r="F70" s="5"/>
      <c r="G70" s="5"/>
      <c r="H70" s="5"/>
      <c r="I70" s="5"/>
      <c r="J70" s="5"/>
      <c r="K70" s="5"/>
    </row>
    <row r="71" spans="2:11" ht="96">
      <c r="B71" s="2422"/>
      <c r="C71" s="72"/>
      <c r="D71" s="36" t="s">
        <v>1128</v>
      </c>
      <c r="E71" s="5"/>
      <c r="F71" s="5"/>
      <c r="G71" s="5"/>
      <c r="H71" s="5"/>
      <c r="I71" s="5"/>
      <c r="J71" s="5"/>
      <c r="K71" s="5"/>
    </row>
    <row r="72" spans="2:11" ht="60">
      <c r="B72" s="2422"/>
      <c r="C72" s="72"/>
      <c r="D72" s="36" t="s">
        <v>1129</v>
      </c>
      <c r="E72" s="5"/>
      <c r="F72" s="5"/>
      <c r="G72" s="5"/>
      <c r="H72" s="5"/>
      <c r="I72" s="5"/>
      <c r="J72" s="5"/>
      <c r="K72" s="5"/>
    </row>
    <row r="73" spans="2:11" ht="48">
      <c r="B73" s="2422"/>
      <c r="C73" s="72"/>
      <c r="D73" s="36" t="s">
        <v>1130</v>
      </c>
      <c r="E73" s="5"/>
      <c r="F73" s="5"/>
      <c r="G73" s="5"/>
      <c r="H73" s="5"/>
      <c r="I73" s="5"/>
      <c r="J73" s="5"/>
      <c r="K73" s="5"/>
    </row>
    <row r="74" spans="2:11" ht="144">
      <c r="B74" s="2422"/>
      <c r="C74" s="72"/>
      <c r="D74" s="36" t="s">
        <v>1131</v>
      </c>
      <c r="E74" s="5"/>
      <c r="F74" s="5"/>
      <c r="G74" s="5"/>
      <c r="H74" s="5"/>
      <c r="I74" s="5"/>
      <c r="J74" s="5"/>
      <c r="K74" s="5"/>
    </row>
    <row r="75" spans="2:11" ht="72.599999999999994" thickBot="1">
      <c r="B75" s="2423"/>
      <c r="C75" s="2"/>
      <c r="D75" s="32" t="s">
        <v>1132</v>
      </c>
      <c r="E75" s="5"/>
      <c r="F75" s="5"/>
      <c r="G75" s="5"/>
      <c r="H75" s="5"/>
      <c r="I75" s="5"/>
      <c r="J75" s="5"/>
      <c r="K75" s="5"/>
    </row>
    <row r="76" spans="2:11" ht="24">
      <c r="B76" s="2421" t="s">
        <v>860</v>
      </c>
      <c r="C76" s="72"/>
      <c r="D76" s="43" t="s">
        <v>1133</v>
      </c>
      <c r="E76" s="5"/>
      <c r="F76" s="5"/>
      <c r="G76" s="5"/>
      <c r="H76" s="5"/>
      <c r="I76" s="5"/>
      <c r="J76" s="5"/>
      <c r="K76" s="5"/>
    </row>
    <row r="77" spans="2:11">
      <c r="B77" s="2422"/>
      <c r="C77" s="72"/>
      <c r="D77" s="13"/>
      <c r="E77" s="5"/>
      <c r="F77" s="5"/>
      <c r="G77" s="5"/>
      <c r="H77" s="5"/>
      <c r="I77" s="5"/>
      <c r="J77" s="5"/>
      <c r="K77" s="5"/>
    </row>
    <row r="78" spans="2:11">
      <c r="B78" s="2422"/>
      <c r="C78" s="72"/>
      <c r="D78" s="36" t="s">
        <v>861</v>
      </c>
      <c r="E78" s="5"/>
      <c r="F78" s="5"/>
      <c r="G78" s="5"/>
      <c r="H78" s="5"/>
      <c r="I78" s="5"/>
      <c r="J78" s="5"/>
      <c r="K78" s="5"/>
    </row>
    <row r="79" spans="2:11" ht="26.4">
      <c r="B79" s="2422"/>
      <c r="C79" s="72"/>
      <c r="D79" s="36" t="s">
        <v>1134</v>
      </c>
      <c r="E79" s="5"/>
      <c r="F79" s="5"/>
      <c r="G79" s="5"/>
      <c r="H79" s="5"/>
      <c r="I79" s="5"/>
      <c r="J79" s="5"/>
      <c r="K79" s="5"/>
    </row>
    <row r="80" spans="2:11" ht="26.4">
      <c r="B80" s="2422"/>
      <c r="C80" s="72"/>
      <c r="D80" s="36" t="s">
        <v>1135</v>
      </c>
      <c r="E80" s="5"/>
      <c r="F80" s="5"/>
      <c r="G80" s="5"/>
      <c r="H80" s="5"/>
      <c r="I80" s="5"/>
      <c r="J80" s="5"/>
      <c r="K80" s="5"/>
    </row>
    <row r="81" spans="2:11" ht="26.4">
      <c r="B81" s="2422"/>
      <c r="C81" s="72"/>
      <c r="D81" s="36" t="s">
        <v>1136</v>
      </c>
      <c r="E81" s="5"/>
      <c r="F81" s="5"/>
      <c r="G81" s="5"/>
      <c r="H81" s="5"/>
      <c r="I81" s="5"/>
      <c r="J81" s="5"/>
      <c r="K81" s="5"/>
    </row>
    <row r="82" spans="2:11" ht="60">
      <c r="B82" s="2422"/>
      <c r="C82" s="72"/>
      <c r="D82" s="44" t="s">
        <v>1052</v>
      </c>
      <c r="E82" s="5"/>
      <c r="F82" s="5"/>
      <c r="G82" s="5"/>
      <c r="H82" s="5"/>
      <c r="I82" s="5"/>
      <c r="J82" s="5"/>
      <c r="K82" s="5"/>
    </row>
    <row r="83" spans="2:11">
      <c r="B83" s="2422"/>
      <c r="C83" s="72"/>
      <c r="D83" s="43" t="s">
        <v>1021</v>
      </c>
      <c r="E83" s="5"/>
      <c r="F83" s="5"/>
      <c r="G83" s="5"/>
      <c r="H83" s="5"/>
      <c r="I83" s="5"/>
      <c r="J83" s="5"/>
      <c r="K83" s="5"/>
    </row>
    <row r="84" spans="2:11" ht="24">
      <c r="B84" s="2422"/>
      <c r="C84" s="72"/>
      <c r="D84" s="43" t="s">
        <v>1109</v>
      </c>
      <c r="E84" s="5"/>
      <c r="F84" s="5"/>
      <c r="G84" s="5"/>
      <c r="H84" s="5"/>
      <c r="I84" s="5"/>
      <c r="J84" s="5"/>
      <c r="K84" s="5"/>
    </row>
    <row r="85" spans="2:11">
      <c r="B85" s="2422"/>
      <c r="C85" s="72"/>
      <c r="D85" s="13"/>
      <c r="E85" s="5"/>
      <c r="F85" s="5"/>
      <c r="G85" s="5"/>
      <c r="H85" s="5"/>
      <c r="I85" s="5"/>
      <c r="J85" s="5"/>
      <c r="K85" s="5"/>
    </row>
    <row r="86" spans="2:11">
      <c r="B86" s="2422"/>
      <c r="C86" s="72"/>
      <c r="D86" s="36" t="s">
        <v>861</v>
      </c>
      <c r="E86" s="5"/>
      <c r="F86" s="5"/>
      <c r="G86" s="5"/>
      <c r="H86" s="5"/>
      <c r="I86" s="5"/>
      <c r="J86" s="5"/>
      <c r="K86" s="5"/>
    </row>
    <row r="87" spans="2:11" ht="26.4">
      <c r="B87" s="2422"/>
      <c r="C87" s="72"/>
      <c r="D87" s="36" t="s">
        <v>1137</v>
      </c>
      <c r="E87" s="5"/>
      <c r="F87" s="5"/>
      <c r="G87" s="5"/>
      <c r="H87" s="5"/>
      <c r="I87" s="5"/>
      <c r="J87" s="5"/>
      <c r="K87" s="5"/>
    </row>
    <row r="88" spans="2:11" ht="51" thickBot="1">
      <c r="B88" s="2423"/>
      <c r="C88" s="2"/>
      <c r="D88" s="32" t="s">
        <v>1138</v>
      </c>
      <c r="E88" s="5"/>
      <c r="F88" s="5"/>
      <c r="G88" s="5"/>
      <c r="H88" s="5"/>
      <c r="I88" s="5"/>
      <c r="J88" s="5"/>
      <c r="K88" s="5"/>
    </row>
  </sheetData>
  <mergeCells count="28">
    <mergeCell ref="B10:D10"/>
    <mergeCell ref="F10:S10"/>
    <mergeCell ref="F11:S11"/>
    <mergeCell ref="E12:R12"/>
    <mergeCell ref="E13:R13"/>
    <mergeCell ref="B59:B66"/>
    <mergeCell ref="B67:B68"/>
    <mergeCell ref="D67:D68"/>
    <mergeCell ref="B69:B75"/>
    <mergeCell ref="B76:B88"/>
    <mergeCell ref="B53:E54"/>
    <mergeCell ref="D15:K15"/>
    <mergeCell ref="D20:K20"/>
    <mergeCell ref="D21:K21"/>
    <mergeCell ref="D22:K22"/>
    <mergeCell ref="B15:B19"/>
    <mergeCell ref="B40:B46"/>
    <mergeCell ref="D23:K23"/>
    <mergeCell ref="D27:K27"/>
    <mergeCell ref="D28:K28"/>
    <mergeCell ref="B30:E30"/>
    <mergeCell ref="B31:B37"/>
    <mergeCell ref="B39:E39"/>
    <mergeCell ref="A1:P1"/>
    <mergeCell ref="A2:P2"/>
    <mergeCell ref="A3:P3"/>
    <mergeCell ref="A4:D4"/>
    <mergeCell ref="A5:P5"/>
  </mergeCells>
  <phoneticPr fontId="41" type="noConversion"/>
  <conditionalFormatting sqref="E12:R12">
    <cfRule type="expression" dxfId="97" priority="3">
      <formula>E11="SI SE REPORTA"</formula>
    </cfRule>
  </conditionalFormatting>
  <conditionalFormatting sqref="F10">
    <cfRule type="notContainsBlanks" dxfId="96" priority="6">
      <formula>LEN(TRIM(F10))&gt;0</formula>
    </cfRule>
  </conditionalFormatting>
  <conditionalFormatting sqref="F11:S11">
    <cfRule type="expression" dxfId="95" priority="1">
      <formula>E11="NO SE REPORTA"</formula>
    </cfRule>
    <cfRule type="expression" dxfId="94" priority="2">
      <formula>E10="NO APLICA"</formula>
    </cfRule>
  </conditionalFormatting>
  <dataValidations count="6">
    <dataValidation type="whole" operator="greaterThanOrEqual" allowBlank="1" showInputMessage="1" showErrorMessage="1" errorTitle="ERROR" error="Valor en HECTAREAS (sin decimales)_x000a_" sqref="E17:H18 F25" xr:uid="{00000000-0002-0000-0C00-000001000000}">
      <formula1>0</formula1>
    </dataValidation>
    <dataValidation allowBlank="1" showInputMessage="1" showErrorMessage="1" promptTitle="OJO" prompt="NO TOCAR" sqref="F26:J26" xr:uid="{00000000-0002-0000-0C00-000002000000}"/>
    <dataValidation allowBlank="1" showInputMessage="1" showErrorMessage="1" sqref="E19:H19" xr:uid="{00000000-0002-0000-0C00-000003000000}"/>
    <dataValidation type="list" allowBlank="1" showInputMessage="1" showErrorMessage="1" sqref="E11" xr:uid="{00000000-0002-0000-0C00-000004000000}">
      <formula1>REPORTE</formula1>
    </dataValidation>
    <dataValidation type="list" allowBlank="1" showInputMessage="1" showErrorMessage="1" sqref="E10" xr:uid="{00000000-0002-0000-0C00-000005000000}">
      <formula1>SI</formula1>
    </dataValidation>
    <dataValidation type="whole" operator="greaterThanOrEqual" allowBlank="1" showInputMessage="1" showErrorMessage="1" errorTitle="ERROR" error="Valor en PESOS (sin centavos)" sqref="G25:J25" xr:uid="{00000000-0002-0000-0C00-000000000000}">
      <formula1>0</formula1>
    </dataValidation>
  </dataValidations>
  <hyperlinks>
    <hyperlink ref="B9" location="'ANEXO 3'!A1" display="VOLVER AL INDICE" xr:uid="{00000000-0004-0000-0C00-000000000000}"/>
    <hyperlink ref="E35" r:id="rId1" xr:uid="{00000000-0004-0000-0C00-000001000000}"/>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9">
    <tabColor theme="0" tint="-0.14999847407452621"/>
  </sheetPr>
  <dimension ref="A1:U142"/>
  <sheetViews>
    <sheetView topLeftCell="A16" zoomScale="93" zoomScaleNormal="93" workbookViewId="0">
      <selection activeCell="N20" sqref="N20"/>
    </sheetView>
  </sheetViews>
  <sheetFormatPr baseColWidth="10" defaultColWidth="11.44140625" defaultRowHeight="14.4"/>
  <cols>
    <col min="1" max="1" width="1.88671875" customWidth="1"/>
    <col min="2" max="2" width="12.88671875" customWidth="1"/>
    <col min="3" max="3" width="7.44140625" style="65" customWidth="1"/>
    <col min="4" max="4" width="34.88671875" customWidth="1"/>
    <col min="5" max="5" width="26.33203125" customWidth="1"/>
    <col min="6" max="6" width="15.88671875" customWidth="1"/>
    <col min="7" max="7" width="15.33203125" customWidth="1"/>
    <col min="10" max="10" width="13.4414062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17</v>
      </c>
      <c r="B5" s="2393"/>
      <c r="C5" s="2393"/>
      <c r="D5" s="2393"/>
      <c r="E5" s="2393"/>
      <c r="F5" s="2393"/>
      <c r="G5" s="2393"/>
      <c r="H5" s="2393"/>
      <c r="I5" s="2393"/>
      <c r="J5" s="2393"/>
      <c r="K5" s="2393"/>
      <c r="L5" s="2393"/>
      <c r="M5" s="2393"/>
      <c r="N5" s="2393"/>
      <c r="O5" s="2393"/>
      <c r="P5" s="2394"/>
    </row>
    <row r="6" spans="1:21">
      <c r="B6" s="176"/>
      <c r="C6" s="177"/>
      <c r="D6" s="5"/>
      <c r="E6" s="5"/>
      <c r="F6" s="5"/>
      <c r="G6" s="5"/>
      <c r="H6" s="5"/>
      <c r="I6" s="5"/>
      <c r="J6" s="5"/>
      <c r="K6" s="5"/>
    </row>
    <row r="7" spans="1:21">
      <c r="B7" s="1" t="s">
        <v>736</v>
      </c>
      <c r="C7" s="63"/>
      <c r="D7" s="5"/>
      <c r="E7" s="61"/>
      <c r="F7" s="5" t="s">
        <v>737</v>
      </c>
      <c r="G7" s="5"/>
      <c r="H7" s="5"/>
      <c r="I7" s="5"/>
      <c r="J7" s="5"/>
      <c r="K7" s="5"/>
    </row>
    <row r="8" spans="1:21" ht="15" thickBot="1">
      <c r="B8" s="62"/>
      <c r="C8" s="64"/>
      <c r="D8" s="5"/>
      <c r="E8" s="14"/>
      <c r="F8" s="5" t="s">
        <v>738</v>
      </c>
      <c r="G8" s="5"/>
      <c r="H8" s="5"/>
      <c r="I8" s="5"/>
      <c r="J8" s="5"/>
      <c r="K8" s="5"/>
    </row>
    <row r="9" spans="1:21" ht="15" thickBot="1">
      <c r="B9" s="141" t="s">
        <v>739</v>
      </c>
      <c r="C9" s="539">
        <v>2025</v>
      </c>
      <c r="D9" s="164">
        <f>IF(E11="NO APLICA","NO APLICA",IF(E12="NO SE REPORTA","SIN INFORMACION",+F84))</f>
        <v>1</v>
      </c>
      <c r="E9" s="161"/>
      <c r="F9" s="5" t="s">
        <v>740</v>
      </c>
      <c r="G9" s="5"/>
      <c r="H9" s="5"/>
      <c r="I9" s="5"/>
      <c r="J9" s="5"/>
      <c r="K9" s="5"/>
    </row>
    <row r="10" spans="1:21" ht="15" thickBot="1">
      <c r="B10" s="290" t="s">
        <v>741</v>
      </c>
      <c r="C10" s="63"/>
      <c r="D10" s="5"/>
      <c r="E10" s="5"/>
      <c r="F10" s="5"/>
      <c r="G10" s="5"/>
      <c r="H10" s="5"/>
      <c r="I10" s="5"/>
      <c r="J10" s="5"/>
      <c r="K10" s="5"/>
    </row>
    <row r="11" spans="1:21">
      <c r="B11" s="2395" t="s">
        <v>742</v>
      </c>
      <c r="C11" s="2395"/>
      <c r="D11" s="2395"/>
      <c r="E11" s="723" t="s">
        <v>743</v>
      </c>
      <c r="F11" s="2399"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2399"/>
      <c r="H11" s="2399"/>
      <c r="I11" s="2399"/>
      <c r="J11" s="2399"/>
      <c r="K11" s="2399"/>
      <c r="L11" s="2399"/>
      <c r="M11" s="2399"/>
      <c r="N11" s="2399"/>
      <c r="O11" s="2399"/>
      <c r="P11" s="2399"/>
      <c r="Q11" s="2399"/>
      <c r="R11" s="2399"/>
      <c r="S11" s="2399"/>
      <c r="T11" s="5"/>
      <c r="U11" s="5"/>
    </row>
    <row r="12" spans="1:21" ht="14.4" customHeight="1" thickBot="1">
      <c r="B12" s="292"/>
      <c r="C12" s="66"/>
      <c r="D12" s="141" t="str">
        <f>IF(E11="SI APLICA","¿El indicador no se reporta por limitaciones de información disponible? ","")</f>
        <v xml:space="preserve">¿El indicador no se reporta por limitaciones de información disponible? </v>
      </c>
      <c r="E12" s="821" t="s">
        <v>744</v>
      </c>
      <c r="F12" s="2397"/>
      <c r="G12" s="2397"/>
      <c r="H12" s="2397"/>
      <c r="I12" s="2397"/>
      <c r="J12" s="2397"/>
      <c r="K12" s="2397"/>
      <c r="L12" s="2397"/>
      <c r="M12" s="2397"/>
      <c r="N12" s="2397"/>
      <c r="O12" s="2397"/>
      <c r="P12" s="2397"/>
      <c r="Q12" s="2397"/>
      <c r="R12" s="2397"/>
      <c r="S12" s="2397"/>
    </row>
    <row r="13" spans="1:21" ht="69.75" customHeight="1" thickBot="1">
      <c r="B13" s="290"/>
      <c r="C13" s="66"/>
      <c r="D13" s="141" t="str">
        <f>IF(E12="SI SE REPORTA","¿Qué programas o proyectos del Plan de Acción están asociados al indicador? ","")</f>
        <v xml:space="preserve">¿Qué programas o proyectos del Plan de Acción están asociados al indicador? </v>
      </c>
      <c r="E13" s="2389" t="s">
        <v>1139</v>
      </c>
      <c r="F13" s="2390"/>
      <c r="G13" s="2390"/>
      <c r="H13" s="2390"/>
      <c r="I13" s="2390"/>
      <c r="J13" s="2390"/>
      <c r="K13" s="2390"/>
      <c r="L13" s="2390"/>
      <c r="M13" s="2390"/>
      <c r="N13" s="2390"/>
      <c r="O13" s="2390"/>
      <c r="P13" s="2390"/>
      <c r="Q13" s="2390"/>
      <c r="R13" s="2391"/>
    </row>
    <row r="14" spans="1:21" ht="45" customHeight="1" thickBot="1">
      <c r="B14" s="290"/>
      <c r="C14" s="66"/>
      <c r="D14" s="141" t="s">
        <v>746</v>
      </c>
      <c r="E14" s="2564" t="s">
        <v>2134</v>
      </c>
      <c r="F14" s="2565"/>
      <c r="G14" s="2565"/>
      <c r="H14" s="2565"/>
      <c r="I14" s="2565"/>
      <c r="J14" s="2565"/>
      <c r="K14" s="2565"/>
      <c r="L14" s="2565"/>
      <c r="M14" s="2565"/>
      <c r="N14" s="2565"/>
      <c r="O14" s="2565"/>
      <c r="P14" s="2565"/>
      <c r="Q14" s="2565"/>
      <c r="R14" s="2566"/>
    </row>
    <row r="15" spans="1:21" ht="39" customHeight="1" thickBot="1">
      <c r="B15" s="2421" t="s">
        <v>747</v>
      </c>
      <c r="C15" s="67"/>
      <c r="D15" s="697" t="s">
        <v>1103</v>
      </c>
      <c r="E15" s="706"/>
      <c r="F15" s="106"/>
      <c r="G15" s="106"/>
      <c r="H15" s="106"/>
      <c r="I15" s="106"/>
      <c r="J15" s="36"/>
      <c r="K15" s="5"/>
    </row>
    <row r="16" spans="1:21">
      <c r="B16" s="2422"/>
      <c r="C16" s="2549" t="s">
        <v>698</v>
      </c>
      <c r="D16" s="2574" t="s">
        <v>904</v>
      </c>
      <c r="E16" s="2571" t="s">
        <v>1140</v>
      </c>
      <c r="F16" s="2567" t="s">
        <v>1141</v>
      </c>
      <c r="G16" s="2573" t="s">
        <v>905</v>
      </c>
      <c r="H16" s="5"/>
      <c r="J16" s="17"/>
      <c r="K16" s="5"/>
    </row>
    <row r="17" spans="2:11" ht="24" customHeight="1" thickBot="1">
      <c r="B17" s="2422"/>
      <c r="C17" s="2550"/>
      <c r="D17" s="2575"/>
      <c r="E17" s="2572"/>
      <c r="F17" s="2568"/>
      <c r="G17" s="2572"/>
      <c r="H17" s="5"/>
      <c r="J17" s="17"/>
      <c r="K17" s="815"/>
    </row>
    <row r="18" spans="2:11" ht="24.6" thickBot="1">
      <c r="B18" s="2422"/>
      <c r="C18" s="2" t="s">
        <v>906</v>
      </c>
      <c r="D18" s="32" t="s">
        <v>2131</v>
      </c>
      <c r="E18" s="429">
        <v>6</v>
      </c>
      <c r="F18" s="429">
        <v>0</v>
      </c>
      <c r="G18" s="724">
        <f t="shared" ref="G18:G23" si="0">+E18+F18</f>
        <v>6</v>
      </c>
      <c r="H18" s="5"/>
      <c r="J18" s="17"/>
      <c r="K18" s="5"/>
    </row>
    <row r="19" spans="2:11" ht="24.6" thickBot="1">
      <c r="B19" s="2422"/>
      <c r="C19" s="2" t="s">
        <v>908</v>
      </c>
      <c r="D19" s="32" t="s">
        <v>2110</v>
      </c>
      <c r="E19" s="496">
        <f>7356+1347</f>
        <v>8703</v>
      </c>
      <c r="F19" s="496">
        <v>0</v>
      </c>
      <c r="G19" s="519">
        <f t="shared" si="0"/>
        <v>8703</v>
      </c>
      <c r="H19" s="5"/>
      <c r="J19" s="17"/>
      <c r="K19" s="5"/>
    </row>
    <row r="20" spans="2:11" ht="46.5" customHeight="1" thickBot="1">
      <c r="B20" s="2422"/>
      <c r="C20" s="2" t="s">
        <v>910</v>
      </c>
      <c r="D20" s="32" t="s">
        <v>1142</v>
      </c>
      <c r="E20" s="496">
        <v>0</v>
      </c>
      <c r="F20" s="496">
        <v>0</v>
      </c>
      <c r="G20" s="724">
        <f t="shared" si="0"/>
        <v>0</v>
      </c>
      <c r="H20" s="5"/>
      <c r="J20" s="17"/>
      <c r="K20" s="5"/>
    </row>
    <row r="21" spans="2:11" ht="42.75" customHeight="1" thickBot="1">
      <c r="B21" s="2422"/>
      <c r="C21" s="2" t="s">
        <v>1008</v>
      </c>
      <c r="D21" s="514" t="s">
        <v>1143</v>
      </c>
      <c r="E21" s="496">
        <v>1347</v>
      </c>
      <c r="F21" s="496">
        <v>0</v>
      </c>
      <c r="G21" s="519">
        <f t="shared" si="0"/>
        <v>1347</v>
      </c>
      <c r="H21" s="5"/>
      <c r="J21" s="17"/>
      <c r="K21" s="5"/>
    </row>
    <row r="22" spans="2:11" ht="51" customHeight="1" thickBot="1">
      <c r="B22" s="2422"/>
      <c r="C22" s="2" t="s">
        <v>1010</v>
      </c>
      <c r="D22" s="32" t="s">
        <v>2132</v>
      </c>
      <c r="E22" s="429">
        <v>6</v>
      </c>
      <c r="F22" s="429">
        <v>0</v>
      </c>
      <c r="G22" s="519">
        <f t="shared" si="0"/>
        <v>6</v>
      </c>
      <c r="H22" s="5"/>
      <c r="J22" s="17"/>
      <c r="K22" s="5"/>
    </row>
    <row r="23" spans="2:11" ht="54.75" customHeight="1" thickBot="1">
      <c r="B23" s="2422"/>
      <c r="C23" s="2" t="s">
        <v>1012</v>
      </c>
      <c r="D23" s="32" t="s">
        <v>2133</v>
      </c>
      <c r="E23" s="519">
        <f>+E20+E21</f>
        <v>1347</v>
      </c>
      <c r="F23" s="519">
        <f>+F20+F21</f>
        <v>0</v>
      </c>
      <c r="G23" s="519">
        <f t="shared" si="0"/>
        <v>1347</v>
      </c>
      <c r="H23" s="5"/>
      <c r="J23" s="17"/>
      <c r="K23" s="5"/>
    </row>
    <row r="24" spans="2:11" ht="24" customHeight="1">
      <c r="B24" s="2422"/>
      <c r="C24" s="70"/>
      <c r="D24" s="2569" t="s">
        <v>1144</v>
      </c>
      <c r="E24" s="2570"/>
      <c r="F24" s="2570"/>
      <c r="G24" s="2570"/>
      <c r="H24" s="2570"/>
      <c r="I24" s="2570"/>
      <c r="J24" s="17"/>
    </row>
    <row r="25" spans="2:11">
      <c r="B25" s="2422"/>
      <c r="C25" s="70"/>
      <c r="D25" s="218" t="s">
        <v>1145</v>
      </c>
      <c r="E25" s="3"/>
      <c r="F25" s="3"/>
      <c r="G25" s="3"/>
      <c r="H25" s="3"/>
      <c r="I25" s="3"/>
      <c r="J25" s="17"/>
    </row>
    <row r="26" spans="2:11" ht="15" thickBot="1">
      <c r="B26" s="2422"/>
      <c r="C26" s="70"/>
      <c r="D26" s="2403" t="s">
        <v>1146</v>
      </c>
      <c r="E26" s="2404"/>
      <c r="F26" s="2404"/>
      <c r="G26" s="2404"/>
      <c r="H26" s="2404"/>
      <c r="I26" s="2404"/>
      <c r="J26" s="2405"/>
    </row>
    <row r="27" spans="2:11" ht="15" thickBot="1">
      <c r="B27" s="2422"/>
      <c r="C27" s="72"/>
      <c r="D27" s="30" t="s">
        <v>904</v>
      </c>
      <c r="E27" s="68" t="s">
        <v>794</v>
      </c>
      <c r="F27" s="68" t="s">
        <v>1147</v>
      </c>
      <c r="G27" s="30" t="s">
        <v>594</v>
      </c>
      <c r="H27" s="30" t="s">
        <v>595</v>
      </c>
      <c r="I27" s="30" t="s">
        <v>905</v>
      </c>
      <c r="J27" s="17"/>
    </row>
    <row r="28" spans="2:11" ht="15" thickBot="1">
      <c r="B28" s="2422"/>
      <c r="C28" s="72"/>
      <c r="D28" s="31" t="s">
        <v>1148</v>
      </c>
      <c r="E28" s="157"/>
      <c r="F28" s="157">
        <v>0</v>
      </c>
      <c r="G28" s="157">
        <v>0</v>
      </c>
      <c r="H28" s="157">
        <v>0</v>
      </c>
      <c r="I28" s="112">
        <f>SUM(E28:H28)</f>
        <v>0</v>
      </c>
      <c r="J28" s="17"/>
    </row>
    <row r="29" spans="2:11" ht="15" thickBot="1">
      <c r="B29" s="2422"/>
      <c r="C29" s="72"/>
      <c r="D29" s="31" t="s">
        <v>1149</v>
      </c>
      <c r="E29" s="157">
        <v>0</v>
      </c>
      <c r="F29" s="157">
        <v>0</v>
      </c>
      <c r="G29" s="157">
        <v>0</v>
      </c>
      <c r="H29" s="157">
        <v>0</v>
      </c>
      <c r="I29" s="219"/>
      <c r="J29" s="17"/>
    </row>
    <row r="30" spans="2:11" ht="15" thickBot="1">
      <c r="B30" s="2422"/>
      <c r="C30" s="72"/>
      <c r="D30" s="31" t="s">
        <v>1150</v>
      </c>
      <c r="E30" s="157">
        <v>0</v>
      </c>
      <c r="F30" s="157">
        <v>0</v>
      </c>
      <c r="G30" s="157">
        <v>0</v>
      </c>
      <c r="H30" s="157">
        <v>0</v>
      </c>
      <c r="I30" s="219"/>
      <c r="J30" s="17"/>
    </row>
    <row r="31" spans="2:11" ht="15" thickBot="1">
      <c r="B31" s="2422"/>
      <c r="C31" s="72"/>
      <c r="D31" s="31" t="s">
        <v>1151</v>
      </c>
      <c r="E31" s="157">
        <v>0</v>
      </c>
      <c r="F31" s="157">
        <v>0</v>
      </c>
      <c r="G31" s="157">
        <v>0</v>
      </c>
      <c r="H31" s="157">
        <v>0</v>
      </c>
      <c r="I31" s="219"/>
      <c r="J31" s="17"/>
    </row>
    <row r="32" spans="2:11" ht="15" thickBot="1">
      <c r="B32" s="2422"/>
      <c r="C32" s="72"/>
      <c r="D32" s="31" t="s">
        <v>1152</v>
      </c>
      <c r="E32" s="157">
        <v>0</v>
      </c>
      <c r="F32" s="157">
        <v>0</v>
      </c>
      <c r="G32" s="157">
        <v>0</v>
      </c>
      <c r="H32" s="157">
        <v>0</v>
      </c>
      <c r="I32" s="219"/>
      <c r="J32" s="17"/>
    </row>
    <row r="33" spans="2:10" ht="15" thickBot="1">
      <c r="B33" s="2422"/>
      <c r="C33" s="72"/>
      <c r="D33" s="31" t="s">
        <v>1153</v>
      </c>
      <c r="E33" s="216">
        <v>0</v>
      </c>
      <c r="F33" s="216">
        <v>0</v>
      </c>
      <c r="G33" s="216">
        <v>0</v>
      </c>
      <c r="H33" s="216">
        <v>0</v>
      </c>
      <c r="I33" s="219"/>
      <c r="J33" s="17"/>
    </row>
    <row r="34" spans="2:10" ht="15" thickBot="1">
      <c r="B34" s="2422"/>
      <c r="C34" s="72"/>
      <c r="D34" s="31" t="s">
        <v>905</v>
      </c>
      <c r="E34" s="112">
        <f>SUM(E29:E33)</f>
        <v>0</v>
      </c>
      <c r="F34" s="112">
        <f>SUM(F29:F33)</f>
        <v>0</v>
      </c>
      <c r="G34" s="112">
        <f>SUM(G29:G33)</f>
        <v>0</v>
      </c>
      <c r="H34" s="112">
        <f>SUM(H29:H33)</f>
        <v>0</v>
      </c>
      <c r="I34" s="219"/>
      <c r="J34" s="17"/>
    </row>
    <row r="35" spans="2:10">
      <c r="B35" s="2422"/>
      <c r="C35" s="70"/>
      <c r="D35" s="2403" t="s">
        <v>1154</v>
      </c>
      <c r="E35" s="2404"/>
      <c r="F35" s="2404"/>
      <c r="G35" s="2404"/>
      <c r="H35" s="2404"/>
      <c r="I35" s="2404"/>
      <c r="J35" s="2405"/>
    </row>
    <row r="36" spans="2:10">
      <c r="B36" s="2422"/>
      <c r="C36" s="70"/>
      <c r="D36" s="2403" t="s">
        <v>1155</v>
      </c>
      <c r="E36" s="2404"/>
      <c r="F36" s="2404"/>
      <c r="G36" s="2404"/>
      <c r="H36" s="2404"/>
      <c r="I36" s="2404"/>
      <c r="J36" s="2405"/>
    </row>
    <row r="37" spans="2:10" ht="15" thickBot="1">
      <c r="B37" s="2422"/>
      <c r="C37" s="70"/>
      <c r="D37" s="2415" t="s">
        <v>1156</v>
      </c>
      <c r="E37" s="2416"/>
      <c r="F37" s="2416"/>
      <c r="G37" s="2416"/>
      <c r="H37" s="2416"/>
      <c r="I37" s="2416"/>
      <c r="J37" s="2417"/>
    </row>
    <row r="38" spans="2:10" ht="15" thickBot="1">
      <c r="B38" s="2422"/>
      <c r="C38" s="72"/>
      <c r="D38" s="30" t="s">
        <v>904</v>
      </c>
      <c r="E38" s="68" t="s">
        <v>794</v>
      </c>
      <c r="F38" s="68" t="s">
        <v>1147</v>
      </c>
      <c r="G38" s="30" t="s">
        <v>594</v>
      </c>
      <c r="H38" s="30" t="s">
        <v>595</v>
      </c>
      <c r="I38" s="30" t="s">
        <v>905</v>
      </c>
      <c r="J38" s="17"/>
    </row>
    <row r="39" spans="2:10" ht="15" thickBot="1">
      <c r="B39" s="2422"/>
      <c r="C39" s="72"/>
      <c r="D39" s="31" t="s">
        <v>1148</v>
      </c>
      <c r="E39" s="758">
        <v>0</v>
      </c>
      <c r="F39" s="758">
        <v>1347</v>
      </c>
      <c r="G39" s="758">
        <v>0</v>
      </c>
      <c r="H39" s="758">
        <v>0</v>
      </c>
      <c r="I39" s="112">
        <f>SUM(E39:H39)</f>
        <v>1347</v>
      </c>
      <c r="J39" s="17"/>
    </row>
    <row r="40" spans="2:10" ht="15" thickBot="1">
      <c r="B40" s="2422"/>
      <c r="C40" s="72"/>
      <c r="D40" s="31" t="s">
        <v>1149</v>
      </c>
      <c r="E40" s="758">
        <v>0</v>
      </c>
      <c r="F40" s="758">
        <v>0</v>
      </c>
      <c r="G40" s="758">
        <v>0</v>
      </c>
      <c r="H40" s="758">
        <v>0</v>
      </c>
      <c r="I40" s="220"/>
      <c r="J40" s="17"/>
    </row>
    <row r="41" spans="2:10" ht="15" thickBot="1">
      <c r="B41" s="2422"/>
      <c r="C41" s="72"/>
      <c r="D41" s="31" t="s">
        <v>1150</v>
      </c>
      <c r="E41" s="758">
        <v>0</v>
      </c>
      <c r="F41" s="758">
        <v>0</v>
      </c>
      <c r="G41" s="758">
        <v>0</v>
      </c>
      <c r="H41" s="758">
        <v>0</v>
      </c>
      <c r="I41" s="220"/>
      <c r="J41" s="17"/>
    </row>
    <row r="42" spans="2:10" ht="15" thickBot="1">
      <c r="B42" s="2422"/>
      <c r="C42" s="72"/>
      <c r="D42" s="31" t="s">
        <v>1151</v>
      </c>
      <c r="E42" s="758">
        <v>0</v>
      </c>
      <c r="F42" s="758">
        <v>0</v>
      </c>
      <c r="G42" s="758">
        <v>0</v>
      </c>
      <c r="H42" s="758">
        <v>0</v>
      </c>
      <c r="I42" s="220"/>
      <c r="J42" s="17"/>
    </row>
    <row r="43" spans="2:10" ht="15" thickBot="1">
      <c r="B43" s="2422"/>
      <c r="C43" s="72"/>
      <c r="D43" s="31" t="s">
        <v>1152</v>
      </c>
      <c r="E43" s="758">
        <v>0</v>
      </c>
      <c r="F43" s="758">
        <v>0</v>
      </c>
      <c r="G43" s="758">
        <v>0</v>
      </c>
      <c r="H43" s="758">
        <v>0</v>
      </c>
      <c r="I43" s="220"/>
      <c r="J43" s="17"/>
    </row>
    <row r="44" spans="2:10" ht="15" thickBot="1">
      <c r="B44" s="2422"/>
      <c r="C44" s="72"/>
      <c r="D44" s="31" t="s">
        <v>1153</v>
      </c>
      <c r="E44" s="758">
        <v>0</v>
      </c>
      <c r="F44" s="758">
        <v>1347</v>
      </c>
      <c r="G44" s="758">
        <v>0</v>
      </c>
      <c r="H44" s="758">
        <v>0</v>
      </c>
      <c r="I44" s="220"/>
      <c r="J44" s="17"/>
    </row>
    <row r="45" spans="2:10" ht="15" thickBot="1">
      <c r="B45" s="2422"/>
      <c r="C45" s="72"/>
      <c r="D45" s="31" t="s">
        <v>905</v>
      </c>
      <c r="E45" s="112">
        <f>SUM(E40:E44)</f>
        <v>0</v>
      </c>
      <c r="F45" s="112">
        <f>SUM(F40:F44)</f>
        <v>1347</v>
      </c>
      <c r="G45" s="112">
        <f>SUM(G40:G44)</f>
        <v>0</v>
      </c>
      <c r="H45" s="112">
        <f>SUM(H40:H44)</f>
        <v>0</v>
      </c>
      <c r="I45" s="220"/>
      <c r="J45" s="17"/>
    </row>
    <row r="46" spans="2:10">
      <c r="B46" s="2422"/>
      <c r="C46" s="70"/>
      <c r="D46" s="2403" t="s">
        <v>1157</v>
      </c>
      <c r="E46" s="2404"/>
      <c r="F46" s="2404"/>
      <c r="G46" s="2404"/>
      <c r="H46" s="2404"/>
      <c r="I46" s="2404"/>
      <c r="J46" s="2405"/>
    </row>
    <row r="47" spans="2:10">
      <c r="B47" s="2422"/>
      <c r="C47" s="70"/>
      <c r="D47" s="2403" t="s">
        <v>1158</v>
      </c>
      <c r="E47" s="2404"/>
      <c r="F47" s="2404"/>
      <c r="G47" s="2404"/>
      <c r="H47" s="2404"/>
      <c r="I47" s="2404"/>
      <c r="J47" s="2405"/>
    </row>
    <row r="48" spans="2:10">
      <c r="B48" s="2422"/>
      <c r="C48" s="70"/>
      <c r="D48" s="2415" t="s">
        <v>1159</v>
      </c>
      <c r="E48" s="2416"/>
      <c r="F48" s="2416"/>
      <c r="G48" s="2416"/>
      <c r="H48" s="2416"/>
      <c r="I48" s="2416"/>
      <c r="J48" s="2417"/>
    </row>
    <row r="49" spans="2:10" ht="15" thickBot="1">
      <c r="B49" s="2422"/>
      <c r="C49" s="70"/>
      <c r="D49" s="2403" t="s">
        <v>1146</v>
      </c>
      <c r="E49" s="2404"/>
      <c r="F49" s="2404"/>
      <c r="G49" s="2404"/>
      <c r="H49" s="2404"/>
      <c r="I49" s="2404"/>
      <c r="J49" s="2405"/>
    </row>
    <row r="50" spans="2:10" ht="15" thickBot="1">
      <c r="B50" s="2422"/>
      <c r="C50" s="72"/>
      <c r="D50" s="30" t="s">
        <v>904</v>
      </c>
      <c r="E50" s="68" t="s">
        <v>794</v>
      </c>
      <c r="F50" s="68" t="s">
        <v>593</v>
      </c>
      <c r="G50" s="30" t="s">
        <v>594</v>
      </c>
      <c r="H50" s="30" t="s">
        <v>595</v>
      </c>
      <c r="I50" s="30" t="s">
        <v>905</v>
      </c>
      <c r="J50" s="17"/>
    </row>
    <row r="51" spans="2:10" ht="15" thickBot="1">
      <c r="B51" s="2422"/>
      <c r="C51" s="72"/>
      <c r="D51" s="31" t="s">
        <v>1148</v>
      </c>
      <c r="E51" s="6">
        <v>0</v>
      </c>
      <c r="F51" s="6">
        <v>0</v>
      </c>
      <c r="G51" s="6">
        <v>0</v>
      </c>
      <c r="H51" s="6">
        <v>0</v>
      </c>
      <c r="I51" s="33">
        <f>SUM(E51:H51)</f>
        <v>0</v>
      </c>
      <c r="J51" s="17"/>
    </row>
    <row r="52" spans="2:10" ht="15" thickBot="1">
      <c r="B52" s="2422"/>
      <c r="C52" s="72"/>
      <c r="D52" s="31" t="s">
        <v>1149</v>
      </c>
      <c r="E52" s="6">
        <v>0</v>
      </c>
      <c r="F52" s="6">
        <v>0</v>
      </c>
      <c r="G52" s="6">
        <v>0</v>
      </c>
      <c r="H52" s="6">
        <v>0</v>
      </c>
      <c r="I52" s="221"/>
      <c r="J52" s="17"/>
    </row>
    <row r="53" spans="2:10" ht="15" thickBot="1">
      <c r="B53" s="2422"/>
      <c r="C53" s="72"/>
      <c r="D53" s="31" t="s">
        <v>1150</v>
      </c>
      <c r="E53" s="6">
        <v>0</v>
      </c>
      <c r="F53" s="6">
        <v>0</v>
      </c>
      <c r="G53" s="6">
        <v>0</v>
      </c>
      <c r="H53" s="6">
        <v>0</v>
      </c>
      <c r="I53" s="221"/>
      <c r="J53" s="17"/>
    </row>
    <row r="54" spans="2:10" ht="15" thickBot="1">
      <c r="B54" s="2422"/>
      <c r="C54" s="72"/>
      <c r="D54" s="31" t="s">
        <v>1151</v>
      </c>
      <c r="E54" s="6">
        <v>0</v>
      </c>
      <c r="F54" s="6">
        <v>0</v>
      </c>
      <c r="G54" s="6">
        <v>0</v>
      </c>
      <c r="H54" s="6">
        <v>0</v>
      </c>
      <c r="I54" s="221"/>
      <c r="J54" s="17"/>
    </row>
    <row r="55" spans="2:10" ht="15" thickBot="1">
      <c r="B55" s="2422"/>
      <c r="C55" s="72"/>
      <c r="D55" s="31" t="s">
        <v>1152</v>
      </c>
      <c r="E55" s="6">
        <v>0</v>
      </c>
      <c r="F55" s="6">
        <v>0</v>
      </c>
      <c r="G55" s="6">
        <v>0</v>
      </c>
      <c r="H55" s="6">
        <v>0</v>
      </c>
      <c r="I55" s="221"/>
      <c r="J55" s="17"/>
    </row>
    <row r="56" spans="2:10" ht="15" thickBot="1">
      <c r="B56" s="2422"/>
      <c r="C56" s="72"/>
      <c r="D56" s="31" t="s">
        <v>1153</v>
      </c>
      <c r="E56" s="217">
        <v>0</v>
      </c>
      <c r="F56" s="217">
        <v>0</v>
      </c>
      <c r="G56" s="217">
        <v>0</v>
      </c>
      <c r="H56" s="217">
        <v>0</v>
      </c>
      <c r="I56" s="221"/>
      <c r="J56" s="17"/>
    </row>
    <row r="57" spans="2:10" ht="15" thickBot="1">
      <c r="B57" s="2422"/>
      <c r="C57" s="72"/>
      <c r="D57" s="31" t="s">
        <v>905</v>
      </c>
      <c r="E57" s="112">
        <f>SUM(E52:E56)</f>
        <v>0</v>
      </c>
      <c r="F57" s="112">
        <f>SUM(F52:F56)</f>
        <v>0</v>
      </c>
      <c r="G57" s="112">
        <f>SUM(G52:G56)</f>
        <v>0</v>
      </c>
      <c r="H57" s="112">
        <f>SUM(H52:H56)</f>
        <v>0</v>
      </c>
      <c r="I57" s="221"/>
      <c r="J57" s="17"/>
    </row>
    <row r="58" spans="2:10">
      <c r="B58" s="2422"/>
      <c r="C58" s="70"/>
      <c r="D58" s="2403" t="s">
        <v>1154</v>
      </c>
      <c r="E58" s="2404"/>
      <c r="F58" s="2404"/>
      <c r="G58" s="2404"/>
      <c r="H58" s="2404"/>
      <c r="I58" s="2404"/>
      <c r="J58" s="2405"/>
    </row>
    <row r="59" spans="2:10">
      <c r="B59" s="2422"/>
      <c r="C59" s="70"/>
      <c r="D59" s="2403" t="s">
        <v>1155</v>
      </c>
      <c r="E59" s="2404"/>
      <c r="F59" s="2404"/>
      <c r="G59" s="2404"/>
      <c r="H59" s="2404"/>
      <c r="I59" s="2404"/>
      <c r="J59" s="2405"/>
    </row>
    <row r="60" spans="2:10" ht="15" thickBot="1">
      <c r="B60" s="2422"/>
      <c r="C60" s="70"/>
      <c r="D60" s="2415" t="s">
        <v>1156</v>
      </c>
      <c r="E60" s="2416"/>
      <c r="F60" s="2416"/>
      <c r="G60" s="2416"/>
      <c r="H60" s="2416"/>
      <c r="I60" s="2416"/>
      <c r="J60" s="2417"/>
    </row>
    <row r="61" spans="2:10" s="109" customFormat="1" ht="15" thickBot="1">
      <c r="B61" s="2422"/>
      <c r="C61" s="72"/>
      <c r="D61" s="68" t="s">
        <v>904</v>
      </c>
      <c r="E61" s="68" t="s">
        <v>794</v>
      </c>
      <c r="F61" s="68" t="s">
        <v>593</v>
      </c>
      <c r="G61" s="68" t="s">
        <v>594</v>
      </c>
      <c r="H61" s="68" t="s">
        <v>595</v>
      </c>
      <c r="I61" s="68" t="s">
        <v>905</v>
      </c>
      <c r="J61" s="252"/>
    </row>
    <row r="62" spans="2:10" ht="15" thickBot="1">
      <c r="B62" s="2422"/>
      <c r="C62" s="72"/>
      <c r="D62" s="31" t="s">
        <v>1148</v>
      </c>
      <c r="E62" s="759">
        <v>0</v>
      </c>
      <c r="F62" s="759">
        <v>0</v>
      </c>
      <c r="G62" s="759">
        <v>0</v>
      </c>
      <c r="H62" s="759">
        <v>0</v>
      </c>
      <c r="I62" s="112">
        <f>SUM(E62:H62)</f>
        <v>0</v>
      </c>
      <c r="J62" s="17"/>
    </row>
    <row r="63" spans="2:10" ht="15" thickBot="1">
      <c r="B63" s="2422"/>
      <c r="C63" s="72"/>
      <c r="D63" s="31" t="s">
        <v>1149</v>
      </c>
      <c r="E63" s="759">
        <v>0</v>
      </c>
      <c r="F63" s="759">
        <v>0</v>
      </c>
      <c r="G63" s="759">
        <v>0</v>
      </c>
      <c r="H63" s="759">
        <v>0</v>
      </c>
      <c r="I63" s="221"/>
      <c r="J63" s="17"/>
    </row>
    <row r="64" spans="2:10" ht="15" thickBot="1">
      <c r="B64" s="2422"/>
      <c r="C64" s="72"/>
      <c r="D64" s="31" t="s">
        <v>1150</v>
      </c>
      <c r="E64" s="759">
        <v>0</v>
      </c>
      <c r="F64" s="759">
        <v>0</v>
      </c>
      <c r="G64" s="759">
        <v>0</v>
      </c>
      <c r="H64" s="759">
        <v>0</v>
      </c>
      <c r="I64" s="221"/>
      <c r="J64" s="17"/>
    </row>
    <row r="65" spans="2:11" ht="15" thickBot="1">
      <c r="B65" s="2422"/>
      <c r="C65" s="72"/>
      <c r="D65" s="31" t="s">
        <v>1151</v>
      </c>
      <c r="E65" s="759">
        <v>0</v>
      </c>
      <c r="F65" s="759">
        <v>0</v>
      </c>
      <c r="G65" s="759">
        <v>0</v>
      </c>
      <c r="H65" s="759">
        <v>0</v>
      </c>
      <c r="I65" s="221"/>
      <c r="J65" s="17"/>
    </row>
    <row r="66" spans="2:11" ht="15" thickBot="1">
      <c r="B66" s="2422"/>
      <c r="C66" s="72"/>
      <c r="D66" s="31" t="s">
        <v>1152</v>
      </c>
      <c r="E66" s="759">
        <v>0</v>
      </c>
      <c r="F66" s="759">
        <v>0</v>
      </c>
      <c r="G66" s="759">
        <v>0</v>
      </c>
      <c r="H66" s="759">
        <v>0</v>
      </c>
      <c r="I66" s="221"/>
      <c r="J66" s="17"/>
    </row>
    <row r="67" spans="2:11" ht="15" thickBot="1">
      <c r="B67" s="2422"/>
      <c r="C67" s="72"/>
      <c r="D67" s="31" t="s">
        <v>1160</v>
      </c>
      <c r="E67" s="759">
        <v>0</v>
      </c>
      <c r="F67" s="759">
        <v>0</v>
      </c>
      <c r="G67" s="759">
        <v>0</v>
      </c>
      <c r="H67" s="759">
        <v>0</v>
      </c>
      <c r="I67" s="221"/>
      <c r="J67" s="17"/>
    </row>
    <row r="68" spans="2:11" ht="15" thickBot="1">
      <c r="B68" s="2422"/>
      <c r="C68" s="72"/>
      <c r="D68" s="31" t="s">
        <v>905</v>
      </c>
      <c r="E68" s="112">
        <f>SUM(E63:E67)</f>
        <v>0</v>
      </c>
      <c r="F68" s="112">
        <f>SUM(F63:F67)</f>
        <v>0</v>
      </c>
      <c r="G68" s="112">
        <f>SUM(G63:G67)</f>
        <v>0</v>
      </c>
      <c r="H68" s="112">
        <f>SUM(H63:H67)</f>
        <v>0</v>
      </c>
      <c r="I68" s="221"/>
      <c r="J68" s="17"/>
    </row>
    <row r="69" spans="2:11">
      <c r="B69" s="2422"/>
      <c r="C69" s="70"/>
      <c r="D69" s="2403" t="s">
        <v>1157</v>
      </c>
      <c r="E69" s="2404"/>
      <c r="F69" s="2404"/>
      <c r="G69" s="2404"/>
      <c r="H69" s="2404"/>
      <c r="I69" s="2404"/>
      <c r="J69" s="2405"/>
    </row>
    <row r="70" spans="2:11">
      <c r="B70" s="2422"/>
      <c r="C70" s="70"/>
      <c r="D70" s="2403" t="s">
        <v>1158</v>
      </c>
      <c r="E70" s="2404"/>
      <c r="F70" s="2404"/>
      <c r="G70" s="2404"/>
      <c r="H70" s="2404"/>
      <c r="I70" s="2404"/>
      <c r="J70" s="2405"/>
    </row>
    <row r="71" spans="2:11" ht="15" thickBot="1">
      <c r="B71" s="2422"/>
      <c r="C71" s="70"/>
      <c r="D71" s="2406" t="s">
        <v>1161</v>
      </c>
      <c r="E71" s="2407"/>
      <c r="F71" s="2407"/>
      <c r="G71" s="2407"/>
      <c r="H71" s="2407"/>
      <c r="I71" s="2407"/>
      <c r="J71" s="2408"/>
    </row>
    <row r="72" spans="2:11" ht="33" customHeight="1">
      <c r="B72" s="2422"/>
      <c r="C72" s="72"/>
      <c r="D72" s="2466" t="s">
        <v>1162</v>
      </c>
      <c r="E72" s="2458" t="s">
        <v>1163</v>
      </c>
      <c r="F72" s="2458" t="s">
        <v>1164</v>
      </c>
      <c r="G72" s="2458" t="s">
        <v>1165</v>
      </c>
      <c r="H72" s="2458" t="s">
        <v>1166</v>
      </c>
      <c r="I72" s="2458" t="s">
        <v>1167</v>
      </c>
      <c r="J72" s="498" t="s">
        <v>1168</v>
      </c>
      <c r="K72" s="5"/>
    </row>
    <row r="73" spans="2:11" ht="15" thickBot="1">
      <c r="B73" s="2422"/>
      <c r="C73" s="72"/>
      <c r="D73" s="2469"/>
      <c r="E73" s="2460"/>
      <c r="F73" s="2460"/>
      <c r="G73" s="2460"/>
      <c r="H73" s="2460"/>
      <c r="I73" s="2460"/>
      <c r="J73" s="471" t="s">
        <v>1169</v>
      </c>
      <c r="K73" s="5"/>
    </row>
    <row r="74" spans="2:11" ht="15" thickBot="1">
      <c r="B74" s="2422"/>
      <c r="C74" s="72"/>
      <c r="D74" s="257" t="s">
        <v>1170</v>
      </c>
      <c r="E74" s="217" t="s">
        <v>1171</v>
      </c>
      <c r="F74" s="217"/>
      <c r="G74" s="759">
        <v>1347</v>
      </c>
      <c r="H74" s="759"/>
      <c r="I74" s="217"/>
      <c r="J74" s="217"/>
      <c r="K74" s="5"/>
    </row>
    <row r="75" spans="2:11" ht="15" thickBot="1">
      <c r="B75" s="2422"/>
      <c r="C75" s="72"/>
      <c r="D75" s="24"/>
      <c r="E75" s="217"/>
      <c r="F75" s="217"/>
      <c r="G75" s="759"/>
      <c r="H75" s="759"/>
      <c r="I75" s="217"/>
      <c r="J75" s="217"/>
      <c r="K75" s="5"/>
    </row>
    <row r="76" spans="2:11" ht="15" thickBot="1">
      <c r="B76" s="2422"/>
      <c r="C76" s="72"/>
      <c r="D76" s="24"/>
      <c r="E76" s="217"/>
      <c r="F76" s="217"/>
      <c r="G76" s="759"/>
      <c r="H76" s="759"/>
      <c r="I76" s="217"/>
      <c r="J76" s="217"/>
      <c r="K76" s="5"/>
    </row>
    <row r="77" spans="2:11">
      <c r="B77" s="2422"/>
      <c r="C77" s="70"/>
      <c r="D77" s="2412" t="s">
        <v>1172</v>
      </c>
      <c r="E77" s="2413"/>
      <c r="F77" s="2413"/>
      <c r="G77" s="2413"/>
      <c r="H77" s="2413"/>
      <c r="I77" s="2413"/>
      <c r="J77" s="2414"/>
      <c r="K77" s="5"/>
    </row>
    <row r="78" spans="2:11" ht="15" thickBot="1">
      <c r="B78" s="2422"/>
      <c r="C78" s="70"/>
      <c r="D78" s="2434" t="s">
        <v>1173</v>
      </c>
      <c r="E78" s="2435"/>
      <c r="F78" s="2435"/>
      <c r="G78" s="2435"/>
      <c r="H78" s="2435"/>
      <c r="I78" s="2435"/>
      <c r="J78" s="2436"/>
      <c r="K78" s="5"/>
    </row>
    <row r="79" spans="2:11">
      <c r="B79" s="2422"/>
      <c r="C79" s="70"/>
      <c r="D79" s="182"/>
      <c r="E79" s="106"/>
      <c r="F79" s="106"/>
      <c r="G79" s="106"/>
      <c r="H79" s="106"/>
      <c r="I79" s="106"/>
      <c r="J79" s="36"/>
      <c r="K79" s="5"/>
    </row>
    <row r="80" spans="2:11" ht="15" thickBot="1">
      <c r="B80" s="2422"/>
      <c r="C80" s="70"/>
      <c r="D80" s="182" t="s">
        <v>1174</v>
      </c>
      <c r="E80" s="106"/>
      <c r="F80" s="106"/>
      <c r="G80" s="106"/>
      <c r="H80" s="106"/>
      <c r="I80" s="106"/>
      <c r="J80" s="36"/>
      <c r="K80" s="5"/>
    </row>
    <row r="81" spans="2:11">
      <c r="B81" s="2422"/>
      <c r="C81" s="70"/>
      <c r="D81" s="222" t="s">
        <v>904</v>
      </c>
      <c r="E81" s="223" t="s">
        <v>592</v>
      </c>
      <c r="F81" s="223" t="s">
        <v>593</v>
      </c>
      <c r="G81" s="223" t="s">
        <v>594</v>
      </c>
      <c r="H81" s="223" t="s">
        <v>595</v>
      </c>
      <c r="I81" s="224" t="s">
        <v>905</v>
      </c>
      <c r="J81" s="36"/>
      <c r="K81" s="5"/>
    </row>
    <row r="82" spans="2:11" ht="25.5" customHeight="1">
      <c r="B82" s="2422"/>
      <c r="C82" s="70"/>
      <c r="D82" s="225" t="s">
        <v>1175</v>
      </c>
      <c r="E82" s="226">
        <f>+E62+E39</f>
        <v>0</v>
      </c>
      <c r="F82" s="226">
        <f t="shared" ref="F82:G82" si="1">+F62+F39</f>
        <v>1347</v>
      </c>
      <c r="G82" s="226">
        <f t="shared" si="1"/>
        <v>0</v>
      </c>
      <c r="H82" s="226">
        <f>+H62+H39</f>
        <v>0</v>
      </c>
      <c r="I82" s="227">
        <f>SUM(E82:H82)</f>
        <v>1347</v>
      </c>
      <c r="J82" s="36"/>
      <c r="K82" s="5"/>
    </row>
    <row r="83" spans="2:11" ht="36">
      <c r="B83" s="2422"/>
      <c r="C83" s="70"/>
      <c r="D83" s="228" t="s">
        <v>1176</v>
      </c>
      <c r="E83" s="226">
        <f>+E67+E44</f>
        <v>0</v>
      </c>
      <c r="F83" s="226">
        <f t="shared" ref="F83:H83" si="2">+F67+F44</f>
        <v>1347</v>
      </c>
      <c r="G83" s="226">
        <f t="shared" si="2"/>
        <v>0</v>
      </c>
      <c r="H83" s="226">
        <f t="shared" si="2"/>
        <v>0</v>
      </c>
      <c r="I83" s="227">
        <f>SUM(E83:H83)</f>
        <v>1347</v>
      </c>
      <c r="J83" s="36"/>
      <c r="K83" s="5"/>
    </row>
    <row r="84" spans="2:11" ht="36.6" thickBot="1">
      <c r="B84" s="2422"/>
      <c r="C84" s="70"/>
      <c r="D84" s="228" t="s">
        <v>17</v>
      </c>
      <c r="E84" s="229" t="str">
        <f>IFERROR(E83/E82,"N.A.")</f>
        <v>N.A.</v>
      </c>
      <c r="F84" s="229">
        <f>IFERROR(F83/F82,"N.A.")</f>
        <v>1</v>
      </c>
      <c r="G84" s="229" t="str">
        <f>IFERROR(G83/G82,"N.A.")</f>
        <v>N.A.</v>
      </c>
      <c r="H84" s="229" t="str">
        <f>IFERROR(H83/H82,"N.A.")</f>
        <v>N.A.</v>
      </c>
      <c r="I84" s="229">
        <f>IFERROR(I83/I82,"N.A.")</f>
        <v>1</v>
      </c>
      <c r="J84" s="36"/>
      <c r="K84" s="5"/>
    </row>
    <row r="85" spans="2:11" ht="24" customHeight="1" thickBot="1">
      <c r="B85" s="2423"/>
      <c r="C85" s="71"/>
      <c r="J85" s="36"/>
      <c r="K85" s="5"/>
    </row>
    <row r="86" spans="2:11" ht="24" customHeight="1" thickBot="1">
      <c r="B86" s="37" t="s">
        <v>803</v>
      </c>
      <c r="C86" s="71"/>
      <c r="D86" s="2424" t="s">
        <v>1177</v>
      </c>
      <c r="E86" s="2425"/>
      <c r="F86" s="2425"/>
      <c r="G86" s="2425"/>
      <c r="H86" s="2425"/>
      <c r="I86" s="2425"/>
      <c r="J86" s="2426"/>
      <c r="K86" s="5"/>
    </row>
    <row r="87" spans="2:11" ht="24" customHeight="1">
      <c r="B87" s="2421" t="s">
        <v>805</v>
      </c>
      <c r="C87" s="67"/>
      <c r="D87" s="2412" t="s">
        <v>1117</v>
      </c>
      <c r="E87" s="2413"/>
      <c r="F87" s="2413"/>
      <c r="G87" s="2413"/>
      <c r="H87" s="2413"/>
      <c r="I87" s="2413"/>
      <c r="J87" s="2414"/>
      <c r="K87" s="5"/>
    </row>
    <row r="88" spans="2:11" ht="48" customHeight="1">
      <c r="B88" s="2422"/>
      <c r="C88" s="70"/>
      <c r="D88" s="2403" t="s">
        <v>1178</v>
      </c>
      <c r="E88" s="2404"/>
      <c r="F88" s="2404"/>
      <c r="G88" s="2404"/>
      <c r="H88" s="2404"/>
      <c r="I88" s="2404"/>
      <c r="J88" s="2405"/>
      <c r="K88" s="5"/>
    </row>
    <row r="89" spans="2:11" ht="60" customHeight="1" thickBot="1">
      <c r="B89" s="2423"/>
      <c r="C89" s="71"/>
      <c r="D89" s="2434" t="s">
        <v>1179</v>
      </c>
      <c r="E89" s="2435"/>
      <c r="F89" s="2435"/>
      <c r="G89" s="2435"/>
      <c r="H89" s="2435"/>
      <c r="I89" s="2435"/>
      <c r="J89" s="2436"/>
      <c r="K89" s="5"/>
    </row>
    <row r="90" spans="2:11" ht="15" thickBot="1">
      <c r="B90" s="1"/>
      <c r="C90" s="63"/>
      <c r="D90" s="5"/>
      <c r="E90" s="5"/>
      <c r="F90" s="5"/>
      <c r="G90" s="5"/>
      <c r="H90" s="5"/>
      <c r="I90" s="5"/>
      <c r="J90" s="5"/>
      <c r="K90" s="5"/>
    </row>
    <row r="91" spans="2:11" ht="24" customHeight="1" thickBot="1">
      <c r="B91" s="2431" t="s">
        <v>807</v>
      </c>
      <c r="C91" s="2432"/>
      <c r="D91" s="2432"/>
      <c r="E91" s="2433"/>
      <c r="F91" s="5"/>
      <c r="G91" s="5"/>
      <c r="H91" s="5"/>
      <c r="I91" s="5"/>
      <c r="J91" s="5"/>
      <c r="K91" s="5"/>
    </row>
    <row r="92" spans="2:11" ht="15" thickBot="1">
      <c r="B92" s="2421">
        <v>1</v>
      </c>
      <c r="C92" s="72"/>
      <c r="D92" s="38" t="s">
        <v>808</v>
      </c>
      <c r="E92" s="25" t="s">
        <v>809</v>
      </c>
      <c r="F92" s="5"/>
      <c r="G92" s="5"/>
      <c r="H92" s="5"/>
      <c r="I92" s="5"/>
      <c r="J92" s="5"/>
      <c r="K92" s="5"/>
    </row>
    <row r="93" spans="2:11" ht="15" thickBot="1">
      <c r="B93" s="2422"/>
      <c r="C93" s="72"/>
      <c r="D93" s="32" t="s">
        <v>528</v>
      </c>
      <c r="E93" s="24" t="s">
        <v>1180</v>
      </c>
      <c r="F93" s="5"/>
      <c r="G93" s="5"/>
      <c r="H93" s="5"/>
      <c r="I93" s="5"/>
      <c r="J93" s="5"/>
      <c r="K93" s="5"/>
    </row>
    <row r="94" spans="2:11" ht="15" thickBot="1">
      <c r="B94" s="2422"/>
      <c r="C94" s="72"/>
      <c r="D94" s="32" t="s">
        <v>811</v>
      </c>
      <c r="E94" s="24" t="s">
        <v>985</v>
      </c>
      <c r="F94" s="5"/>
      <c r="G94" s="5"/>
      <c r="H94" s="5"/>
      <c r="I94" s="5"/>
      <c r="J94" s="5"/>
      <c r="K94" s="5"/>
    </row>
    <row r="95" spans="2:11" ht="15" thickBot="1">
      <c r="B95" s="2422"/>
      <c r="C95" s="72"/>
      <c r="D95" s="32" t="s">
        <v>531</v>
      </c>
      <c r="E95" s="24" t="s">
        <v>986</v>
      </c>
      <c r="F95" s="5"/>
      <c r="G95" s="5"/>
      <c r="H95" s="5"/>
      <c r="I95" s="5"/>
      <c r="J95" s="5"/>
      <c r="K95" s="5"/>
    </row>
    <row r="96" spans="2:11" ht="29.4" thickBot="1">
      <c r="B96" s="2422"/>
      <c r="C96" s="72"/>
      <c r="D96" s="32" t="s">
        <v>534</v>
      </c>
      <c r="E96" s="490" t="s">
        <v>944</v>
      </c>
      <c r="F96" s="5"/>
      <c r="G96" s="5"/>
      <c r="H96" s="5"/>
      <c r="I96" s="5"/>
      <c r="J96" s="5"/>
      <c r="K96" s="5"/>
    </row>
    <row r="97" spans="2:11" ht="15" thickBot="1">
      <c r="B97" s="2422"/>
      <c r="C97" s="72"/>
      <c r="D97" s="32" t="s">
        <v>537</v>
      </c>
      <c r="E97" s="24" t="s">
        <v>945</v>
      </c>
      <c r="F97" s="5"/>
      <c r="G97" s="5"/>
      <c r="H97" s="5"/>
      <c r="I97" s="5"/>
      <c r="J97" s="5"/>
      <c r="K97" s="5"/>
    </row>
    <row r="98" spans="2:11" ht="15" thickBot="1">
      <c r="B98" s="2423"/>
      <c r="C98" s="2"/>
      <c r="D98" s="32" t="s">
        <v>815</v>
      </c>
      <c r="E98" s="24" t="s">
        <v>816</v>
      </c>
      <c r="F98" s="5"/>
      <c r="G98" s="5"/>
      <c r="H98" s="5"/>
      <c r="I98" s="5"/>
      <c r="J98" s="5"/>
      <c r="K98" s="5"/>
    </row>
    <row r="99" spans="2:11" ht="15" thickBot="1">
      <c r="B99" s="1"/>
      <c r="C99" s="63"/>
      <c r="D99" s="5"/>
      <c r="E99" s="5"/>
      <c r="F99" s="5"/>
      <c r="G99" s="5"/>
      <c r="H99" s="5"/>
      <c r="I99" s="5"/>
      <c r="J99" s="5"/>
      <c r="K99" s="5"/>
    </row>
    <row r="100" spans="2:11" ht="15" thickBot="1">
      <c r="B100" s="2431" t="s">
        <v>817</v>
      </c>
      <c r="C100" s="2432"/>
      <c r="D100" s="2432"/>
      <c r="E100" s="2433"/>
      <c r="F100" s="5"/>
      <c r="G100" s="5"/>
      <c r="H100" s="5"/>
      <c r="I100" s="5"/>
      <c r="J100" s="5"/>
      <c r="K100" s="5"/>
    </row>
    <row r="101" spans="2:11" ht="24.6" thickBot="1">
      <c r="B101" s="2421">
        <v>1</v>
      </c>
      <c r="C101" s="72"/>
      <c r="D101" s="38" t="s">
        <v>808</v>
      </c>
      <c r="E101" s="28" t="s">
        <v>818</v>
      </c>
      <c r="F101" s="5"/>
      <c r="G101" s="5"/>
      <c r="H101" s="5"/>
      <c r="I101" s="5"/>
      <c r="J101" s="5"/>
      <c r="K101" s="5"/>
    </row>
    <row r="102" spans="2:11" ht="36.6" thickBot="1">
      <c r="B102" s="2422"/>
      <c r="C102" s="72"/>
      <c r="D102" s="32" t="s">
        <v>528</v>
      </c>
      <c r="E102" s="28" t="s">
        <v>916</v>
      </c>
      <c r="F102" s="5"/>
      <c r="G102" s="5"/>
      <c r="H102" s="5"/>
      <c r="I102" s="5"/>
      <c r="J102" s="5"/>
      <c r="K102" s="5"/>
    </row>
    <row r="103" spans="2:11" ht="15" thickBot="1">
      <c r="B103" s="2422"/>
      <c r="C103" s="72"/>
      <c r="D103" s="32" t="s">
        <v>811</v>
      </c>
      <c r="E103" s="187"/>
      <c r="F103" s="5"/>
      <c r="G103" s="5"/>
      <c r="H103" s="5"/>
      <c r="I103" s="5"/>
      <c r="J103" s="5"/>
      <c r="K103" s="5"/>
    </row>
    <row r="104" spans="2:11" ht="15" thickBot="1">
      <c r="B104" s="2422"/>
      <c r="C104" s="72"/>
      <c r="D104" s="32" t="s">
        <v>531</v>
      </c>
      <c r="E104" s="187"/>
      <c r="F104" s="5"/>
      <c r="G104" s="5"/>
      <c r="H104" s="5"/>
      <c r="I104" s="5"/>
      <c r="J104" s="5"/>
      <c r="K104" s="5"/>
    </row>
    <row r="105" spans="2:11" ht="15" thickBot="1">
      <c r="B105" s="2422"/>
      <c r="C105" s="72"/>
      <c r="D105" s="32" t="s">
        <v>534</v>
      </c>
      <c r="E105" s="187"/>
      <c r="F105" s="5"/>
      <c r="G105" s="5"/>
      <c r="H105" s="5"/>
      <c r="I105" s="5"/>
      <c r="J105" s="5"/>
      <c r="K105" s="5"/>
    </row>
    <row r="106" spans="2:11" ht="15" thickBot="1">
      <c r="B106" s="2422"/>
      <c r="C106" s="72"/>
      <c r="D106" s="32" t="s">
        <v>537</v>
      </c>
      <c r="E106" s="187"/>
      <c r="F106" s="5"/>
      <c r="G106" s="5"/>
      <c r="H106" s="5"/>
      <c r="I106" s="5"/>
      <c r="J106" s="5"/>
      <c r="K106" s="5"/>
    </row>
    <row r="107" spans="2:11" ht="15" thickBot="1">
      <c r="B107" s="2423"/>
      <c r="C107" s="2"/>
      <c r="D107" s="32" t="s">
        <v>815</v>
      </c>
      <c r="E107" s="187"/>
      <c r="F107" s="5"/>
      <c r="G107" s="5"/>
      <c r="H107" s="5"/>
      <c r="I107" s="5"/>
      <c r="J107" s="5"/>
      <c r="K107" s="5"/>
    </row>
    <row r="108" spans="2:11" ht="15" thickBot="1">
      <c r="B108" s="1"/>
      <c r="C108" s="63"/>
      <c r="D108" s="5"/>
      <c r="E108" s="5"/>
      <c r="F108" s="5"/>
      <c r="G108" s="5"/>
      <c r="H108" s="5"/>
      <c r="I108" s="5"/>
      <c r="J108" s="5"/>
      <c r="K108" s="5"/>
    </row>
    <row r="109" spans="2:11" ht="15" customHeight="1" thickBot="1">
      <c r="B109" s="96" t="s">
        <v>820</v>
      </c>
      <c r="C109" s="97"/>
      <c r="D109" s="97"/>
      <c r="E109" s="98"/>
      <c r="G109" s="5"/>
      <c r="H109" s="5"/>
      <c r="I109" s="5"/>
      <c r="J109" s="5"/>
      <c r="K109" s="5"/>
    </row>
    <row r="110" spans="2:11" ht="24.6" thickBot="1">
      <c r="B110" s="37" t="s">
        <v>821</v>
      </c>
      <c r="C110" s="32" t="s">
        <v>822</v>
      </c>
      <c r="D110" s="32" t="s">
        <v>823</v>
      </c>
      <c r="E110" s="32" t="s">
        <v>824</v>
      </c>
      <c r="F110" s="5"/>
      <c r="G110" s="5"/>
      <c r="H110" s="5"/>
      <c r="I110" s="5"/>
      <c r="J110" s="5"/>
    </row>
    <row r="111" spans="2:11" ht="84.6" thickBot="1">
      <c r="B111" s="39">
        <v>42401</v>
      </c>
      <c r="C111" s="32">
        <v>0.01</v>
      </c>
      <c r="D111" s="40" t="s">
        <v>1181</v>
      </c>
      <c r="E111" s="32"/>
      <c r="F111" s="5"/>
      <c r="G111" s="5"/>
      <c r="H111" s="5"/>
      <c r="I111" s="5"/>
      <c r="J111" s="5"/>
    </row>
    <row r="112" spans="2:11" ht="15" thickBot="1">
      <c r="B112" s="1"/>
      <c r="C112" s="63"/>
      <c r="D112" s="5"/>
      <c r="E112" s="5"/>
      <c r="F112" s="5"/>
      <c r="G112" s="5"/>
      <c r="H112" s="5"/>
      <c r="I112" s="5"/>
      <c r="J112" s="5"/>
      <c r="K112" s="5"/>
    </row>
    <row r="113" spans="2:11" ht="15" thickBot="1">
      <c r="B113" s="105" t="s">
        <v>702</v>
      </c>
      <c r="C113" s="74"/>
      <c r="D113" s="5"/>
      <c r="E113" s="5"/>
      <c r="F113" s="5"/>
      <c r="G113" s="5"/>
      <c r="H113" s="5"/>
      <c r="I113" s="5"/>
      <c r="J113" s="5"/>
      <c r="K113" s="5"/>
    </row>
    <row r="114" spans="2:11">
      <c r="B114" s="2576" t="s">
        <v>1182</v>
      </c>
      <c r="C114" s="2577"/>
      <c r="D114" s="2577"/>
      <c r="E114" s="2577"/>
      <c r="F114" s="2577"/>
      <c r="G114" s="2577"/>
      <c r="H114" s="2577"/>
      <c r="I114" s="2577"/>
      <c r="J114" s="2578"/>
      <c r="K114" s="5"/>
    </row>
    <row r="115" spans="2:11" ht="24" customHeight="1" thickBot="1">
      <c r="B115" s="2579"/>
      <c r="C115" s="2580"/>
      <c r="D115" s="2580"/>
      <c r="E115" s="2580"/>
      <c r="F115" s="2580"/>
      <c r="G115" s="2580"/>
      <c r="H115" s="2580"/>
      <c r="I115" s="2580"/>
      <c r="J115" s="2581"/>
      <c r="K115" s="5"/>
    </row>
    <row r="116" spans="2:11" ht="15" thickBot="1">
      <c r="B116" s="5"/>
      <c r="D116" s="5"/>
      <c r="E116" s="5"/>
      <c r="F116" s="5"/>
      <c r="G116" s="5"/>
      <c r="H116" s="5"/>
      <c r="I116" s="5"/>
      <c r="J116" s="5"/>
      <c r="K116" s="5"/>
    </row>
    <row r="117" spans="2:11" ht="15" thickBot="1">
      <c r="B117" s="2431" t="s">
        <v>826</v>
      </c>
      <c r="C117" s="2432"/>
      <c r="D117" s="2433"/>
      <c r="E117" s="5"/>
      <c r="F117" s="5"/>
      <c r="G117" s="5"/>
      <c r="H117" s="5"/>
      <c r="I117" s="5"/>
      <c r="J117" s="5"/>
      <c r="K117" s="5"/>
    </row>
    <row r="118" spans="2:11" ht="96.6" thickBot="1">
      <c r="B118" s="37" t="s">
        <v>827</v>
      </c>
      <c r="C118" s="2"/>
      <c r="D118" s="32" t="s">
        <v>1183</v>
      </c>
      <c r="E118" s="5"/>
      <c r="F118" s="5"/>
      <c r="G118" s="5"/>
      <c r="H118" s="5"/>
      <c r="I118" s="5"/>
      <c r="J118" s="5"/>
      <c r="K118" s="5"/>
    </row>
    <row r="119" spans="2:11">
      <c r="B119" s="2421" t="s">
        <v>829</v>
      </c>
      <c r="C119" s="72"/>
      <c r="D119" s="43" t="s">
        <v>830</v>
      </c>
      <c r="E119" s="5"/>
      <c r="F119" s="5"/>
      <c r="G119" s="5"/>
      <c r="H119" s="5"/>
      <c r="I119" s="5"/>
      <c r="J119" s="5"/>
      <c r="K119" s="5"/>
    </row>
    <row r="120" spans="2:11" ht="60">
      <c r="B120" s="2422"/>
      <c r="C120" s="72"/>
      <c r="D120" s="36" t="s">
        <v>1184</v>
      </c>
      <c r="E120" s="5"/>
      <c r="F120" s="5"/>
      <c r="G120" s="5"/>
      <c r="H120" s="5"/>
      <c r="I120" s="5"/>
      <c r="J120" s="5"/>
      <c r="K120" s="5"/>
    </row>
    <row r="121" spans="2:11" ht="36">
      <c r="B121" s="2422"/>
      <c r="C121" s="72"/>
      <c r="D121" s="36" t="s">
        <v>1185</v>
      </c>
      <c r="E121" s="5"/>
      <c r="F121" s="5"/>
      <c r="G121" s="5"/>
      <c r="H121" s="5"/>
      <c r="I121" s="5"/>
      <c r="J121" s="5"/>
      <c r="K121" s="5"/>
    </row>
    <row r="122" spans="2:11">
      <c r="B122" s="2422"/>
      <c r="C122" s="72"/>
      <c r="D122" s="43" t="s">
        <v>833</v>
      </c>
      <c r="E122" s="5"/>
      <c r="F122" s="5"/>
      <c r="G122" s="5"/>
      <c r="H122" s="5"/>
      <c r="I122" s="5"/>
      <c r="J122" s="5"/>
      <c r="K122" s="5"/>
    </row>
    <row r="123" spans="2:11">
      <c r="B123" s="2422"/>
      <c r="C123" s="72"/>
      <c r="D123" s="36" t="s">
        <v>835</v>
      </c>
      <c r="E123" s="5"/>
      <c r="F123" s="5"/>
      <c r="G123" s="5"/>
      <c r="H123" s="5"/>
      <c r="I123" s="5"/>
      <c r="J123" s="5"/>
      <c r="K123" s="5"/>
    </row>
    <row r="124" spans="2:11">
      <c r="B124" s="2422"/>
      <c r="C124" s="72"/>
      <c r="D124" s="36" t="s">
        <v>1186</v>
      </c>
      <c r="E124" s="5"/>
      <c r="F124" s="5"/>
      <c r="G124" s="5"/>
      <c r="H124" s="5"/>
      <c r="I124" s="5"/>
      <c r="J124" s="5"/>
      <c r="K124" s="5"/>
    </row>
    <row r="125" spans="2:11">
      <c r="B125" s="2422"/>
      <c r="C125" s="72"/>
      <c r="D125" s="43" t="s">
        <v>1085</v>
      </c>
      <c r="E125" s="5"/>
      <c r="F125" s="5"/>
      <c r="G125" s="5"/>
      <c r="H125" s="5"/>
      <c r="I125" s="5"/>
      <c r="J125" s="5"/>
      <c r="K125" s="5"/>
    </row>
    <row r="126" spans="2:11" ht="24">
      <c r="B126" s="2422"/>
      <c r="C126" s="72"/>
      <c r="D126" s="36" t="s">
        <v>1187</v>
      </c>
      <c r="E126" s="5"/>
      <c r="F126" s="5"/>
      <c r="G126" s="5"/>
      <c r="H126" s="5"/>
      <c r="I126" s="5"/>
      <c r="J126" s="5"/>
      <c r="K126" s="5"/>
    </row>
    <row r="127" spans="2:11" ht="24">
      <c r="B127" s="2422"/>
      <c r="C127" s="72"/>
      <c r="D127" s="36" t="s">
        <v>1188</v>
      </c>
      <c r="E127" s="5"/>
      <c r="F127" s="5"/>
      <c r="G127" s="5"/>
      <c r="H127" s="5"/>
      <c r="I127" s="5"/>
      <c r="J127" s="5"/>
      <c r="K127" s="5"/>
    </row>
    <row r="128" spans="2:11" ht="15" thickBot="1">
      <c r="B128" s="2423"/>
      <c r="C128" s="2"/>
      <c r="D128" s="32" t="s">
        <v>1189</v>
      </c>
      <c r="E128" s="5"/>
      <c r="F128" s="5"/>
      <c r="G128" s="5"/>
      <c r="H128" s="5"/>
      <c r="I128" s="5"/>
      <c r="J128" s="5"/>
      <c r="K128" s="5"/>
    </row>
    <row r="129" spans="2:11" ht="24.6" thickBot="1">
      <c r="B129" s="37" t="s">
        <v>842</v>
      </c>
      <c r="C129" s="2"/>
      <c r="D129" s="32"/>
      <c r="E129" s="5"/>
      <c r="F129" s="5"/>
      <c r="G129" s="5"/>
      <c r="H129" s="5"/>
      <c r="I129" s="5"/>
      <c r="J129" s="5"/>
      <c r="K129" s="5"/>
    </row>
    <row r="130" spans="2:11" ht="15" thickBot="1">
      <c r="B130" s="29"/>
      <c r="C130" s="66"/>
      <c r="D130" s="5"/>
      <c r="E130" s="5"/>
      <c r="F130" s="5"/>
      <c r="G130" s="5"/>
      <c r="H130" s="5"/>
      <c r="I130" s="5"/>
      <c r="J130" s="5"/>
      <c r="K130" s="5"/>
    </row>
    <row r="131" spans="2:11" ht="96">
      <c r="B131" s="2421" t="s">
        <v>843</v>
      </c>
      <c r="C131" s="83"/>
      <c r="D131" s="53" t="s">
        <v>1190</v>
      </c>
      <c r="E131" s="5"/>
      <c r="F131" s="5"/>
      <c r="G131" s="5"/>
      <c r="H131" s="5"/>
      <c r="I131" s="5"/>
      <c r="J131" s="5"/>
      <c r="K131" s="5"/>
    </row>
    <row r="132" spans="2:11" ht="120">
      <c r="B132" s="2422"/>
      <c r="C132" s="72"/>
      <c r="D132" s="36" t="s">
        <v>1191</v>
      </c>
      <c r="E132" s="5"/>
      <c r="F132" s="5"/>
      <c r="G132" s="5"/>
      <c r="H132" s="5"/>
      <c r="I132" s="5"/>
      <c r="J132" s="5"/>
      <c r="K132" s="5"/>
    </row>
    <row r="133" spans="2:11" ht="180">
      <c r="B133" s="2422"/>
      <c r="C133" s="72"/>
      <c r="D133" s="36" t="s">
        <v>1192</v>
      </c>
      <c r="E133" s="5"/>
      <c r="F133" s="5"/>
      <c r="G133" s="5"/>
      <c r="H133" s="5"/>
      <c r="I133" s="5"/>
      <c r="J133" s="5"/>
      <c r="K133" s="5"/>
    </row>
    <row r="134" spans="2:11" ht="60">
      <c r="B134" s="2422"/>
      <c r="C134" s="72"/>
      <c r="D134" s="36" t="s">
        <v>1193</v>
      </c>
      <c r="E134" s="5"/>
      <c r="F134" s="5"/>
      <c r="G134" s="5"/>
      <c r="H134" s="5"/>
      <c r="I134" s="5"/>
      <c r="J134" s="5"/>
      <c r="K134" s="5"/>
    </row>
    <row r="135" spans="2:11" ht="108.6" thickBot="1">
      <c r="B135" s="2423"/>
      <c r="C135" s="2"/>
      <c r="D135" s="32" t="s">
        <v>1194</v>
      </c>
      <c r="E135" s="5"/>
      <c r="F135" s="5"/>
      <c r="G135" s="5"/>
      <c r="H135" s="5"/>
      <c r="I135" s="5"/>
      <c r="J135" s="5"/>
      <c r="K135" s="5"/>
    </row>
    <row r="136" spans="2:11">
      <c r="B136" s="2421" t="s">
        <v>860</v>
      </c>
      <c r="C136" s="72"/>
      <c r="D136" s="43"/>
      <c r="E136" s="5"/>
      <c r="F136" s="5"/>
      <c r="G136" s="5"/>
      <c r="H136" s="5"/>
      <c r="I136" s="5"/>
      <c r="J136" s="5"/>
      <c r="K136" s="5"/>
    </row>
    <row r="137" spans="2:11" ht="36">
      <c r="B137" s="2422"/>
      <c r="C137" s="72"/>
      <c r="D137" s="43" t="s">
        <v>17</v>
      </c>
      <c r="E137" s="5"/>
      <c r="F137" s="5"/>
      <c r="G137" s="5"/>
      <c r="H137" s="5"/>
      <c r="I137" s="5"/>
      <c r="J137" s="5"/>
      <c r="K137" s="5"/>
    </row>
    <row r="138" spans="2:11">
      <c r="B138" s="2422"/>
      <c r="C138" s="72"/>
      <c r="D138" s="13"/>
      <c r="E138" s="5"/>
      <c r="F138" s="5"/>
      <c r="G138" s="5"/>
      <c r="H138" s="5"/>
      <c r="I138" s="5"/>
      <c r="J138" s="5"/>
      <c r="K138" s="5"/>
    </row>
    <row r="139" spans="2:11">
      <c r="B139" s="2422"/>
      <c r="C139" s="72"/>
      <c r="D139" s="36" t="s">
        <v>861</v>
      </c>
      <c r="E139" s="5"/>
      <c r="F139" s="5"/>
      <c r="G139" s="5"/>
      <c r="H139" s="5"/>
      <c r="I139" s="5"/>
      <c r="J139" s="5"/>
      <c r="K139" s="5"/>
    </row>
    <row r="140" spans="2:11" ht="50.4">
      <c r="B140" s="2422"/>
      <c r="C140" s="72"/>
      <c r="D140" s="36" t="s">
        <v>1195</v>
      </c>
      <c r="E140" s="5"/>
      <c r="F140" s="5"/>
      <c r="G140" s="5"/>
      <c r="H140" s="5"/>
      <c r="I140" s="5"/>
      <c r="J140" s="5"/>
      <c r="K140" s="5"/>
    </row>
    <row r="141" spans="2:11" ht="50.4">
      <c r="B141" s="2422"/>
      <c r="C141" s="72"/>
      <c r="D141" s="36" t="s">
        <v>1196</v>
      </c>
      <c r="E141" s="5"/>
      <c r="F141" s="5"/>
      <c r="G141" s="5"/>
      <c r="H141" s="5"/>
      <c r="I141" s="5"/>
      <c r="J141" s="5"/>
      <c r="K141" s="5"/>
    </row>
    <row r="142" spans="2:11" ht="39" thickBot="1">
      <c r="B142" s="2423"/>
      <c r="C142" s="2"/>
      <c r="D142" s="32" t="s">
        <v>1197</v>
      </c>
      <c r="E142" s="5"/>
      <c r="F142" s="5"/>
      <c r="G142" s="5"/>
      <c r="H142" s="5"/>
      <c r="I142" s="5"/>
      <c r="J142" s="5"/>
      <c r="K142" s="5"/>
    </row>
  </sheetData>
  <sheetProtection insertRows="0"/>
  <mergeCells count="53">
    <mergeCell ref="B114:J115"/>
    <mergeCell ref="B117:D117"/>
    <mergeCell ref="B119:B128"/>
    <mergeCell ref="B131:B135"/>
    <mergeCell ref="B136:B142"/>
    <mergeCell ref="C16:C17"/>
    <mergeCell ref="D16:D17"/>
    <mergeCell ref="B101:B107"/>
    <mergeCell ref="D77:J77"/>
    <mergeCell ref="D78:J78"/>
    <mergeCell ref="D86:J86"/>
    <mergeCell ref="B87:B89"/>
    <mergeCell ref="D87:J87"/>
    <mergeCell ref="D88:J88"/>
    <mergeCell ref="D89:J89"/>
    <mergeCell ref="F72:F73"/>
    <mergeCell ref="G72:G73"/>
    <mergeCell ref="H72:H73"/>
    <mergeCell ref="D47:J47"/>
    <mergeCell ref="D48:J48"/>
    <mergeCell ref="D49:J49"/>
    <mergeCell ref="D37:J37"/>
    <mergeCell ref="D46:J46"/>
    <mergeCell ref="F16:F17"/>
    <mergeCell ref="D24:I24"/>
    <mergeCell ref="E16:E17"/>
    <mergeCell ref="G16:G17"/>
    <mergeCell ref="B91:E91"/>
    <mergeCell ref="B92:B98"/>
    <mergeCell ref="B100:E100"/>
    <mergeCell ref="D58:J58"/>
    <mergeCell ref="D59:J59"/>
    <mergeCell ref="D60:J60"/>
    <mergeCell ref="D69:J69"/>
    <mergeCell ref="D70:J70"/>
    <mergeCell ref="D71:J71"/>
    <mergeCell ref="I72:I73"/>
    <mergeCell ref="D72:D73"/>
    <mergeCell ref="E72:E73"/>
    <mergeCell ref="B15:B85"/>
    <mergeCell ref="D26:J26"/>
    <mergeCell ref="D35:J35"/>
    <mergeCell ref="D36:J36"/>
    <mergeCell ref="B11:D11"/>
    <mergeCell ref="F11:S11"/>
    <mergeCell ref="F12:S12"/>
    <mergeCell ref="E13:R13"/>
    <mergeCell ref="E14:R14"/>
    <mergeCell ref="A1:P1"/>
    <mergeCell ref="A2:P2"/>
    <mergeCell ref="A3:P3"/>
    <mergeCell ref="A4:D4"/>
    <mergeCell ref="A5:P5"/>
  </mergeCells>
  <conditionalFormatting sqref="E13:R13">
    <cfRule type="expression" dxfId="93" priority="3">
      <formula>E12="SI SE REPORTA"</formula>
    </cfRule>
  </conditionalFormatting>
  <conditionalFormatting sqref="F11">
    <cfRule type="notContainsBlanks" dxfId="92" priority="6">
      <formula>LEN(TRIM(F11))&gt;0</formula>
    </cfRule>
  </conditionalFormatting>
  <conditionalFormatting sqref="F12:S12">
    <cfRule type="expression" dxfId="91" priority="1">
      <formula>E12="NO SE REPORTA"</formula>
    </cfRule>
    <cfRule type="expression" dxfId="90" priority="2">
      <formula>E11="NO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F18 E28:H33 E22:F22 E51:H56" xr:uid="{00000000-0002-0000-0D00-000000000000}">
      <formula1>0</formula1>
    </dataValidation>
    <dataValidation type="whole" operator="greaterThanOrEqual" allowBlank="1" showInputMessage="1" showErrorMessage="1" errorTitle="ERROR" error="Valor en HECTAREAS (sin decimales)_x000a_" sqref="E39:H44 E19:F21 G74:H76 E62:H67" xr:uid="{00000000-0002-0000-0D00-000001000000}">
      <formula1>0</formula1>
    </dataValidation>
    <dataValidation allowBlank="1" showInputMessage="1" showErrorMessage="1" promptTitle="ESTADO" prompt="en preparación_x000a_en aprestamiento_x000a_en declaración_x000a_Declarado" sqref="I74:I76" xr:uid="{00000000-0002-0000-0D00-000002000000}"/>
    <dataValidation allowBlank="1" showInputMessage="1" showErrorMessage="1" sqref="I39 E45:H45 I51 E68:H68 I62 E57:H57 E23:F23 I28" xr:uid="{00000000-0002-0000-0D00-000003000000}"/>
    <dataValidation type="list" allowBlank="1" showInputMessage="1" showErrorMessage="1" sqref="E12" xr:uid="{00000000-0002-0000-0D00-000004000000}">
      <formula1>REPORTE</formula1>
    </dataValidation>
    <dataValidation type="list" allowBlank="1" showInputMessage="1" showErrorMessage="1" sqref="E11" xr:uid="{00000000-0002-0000-0D00-000005000000}">
      <formula1>SI</formula1>
    </dataValidation>
  </dataValidations>
  <hyperlinks>
    <hyperlink ref="B10" location="'ANEXO 3'!A1" display="VOLVER AL INDICE" xr:uid="{00000000-0004-0000-0D00-000000000000}"/>
    <hyperlink ref="E96" r:id="rId1" xr:uid="{00000000-0004-0000-0D00-000001000000}"/>
  </hyperlinks>
  <pageMargins left="0.25" right="0.25" top="0.75" bottom="0.75" header="0.3" footer="0.3"/>
  <pageSetup paperSize="178" orientation="landscape" horizontalDpi="1200" verticalDpi="1200" r:id="rId2"/>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0"/>
  <dimension ref="A1:U89"/>
  <sheetViews>
    <sheetView topLeftCell="A4" workbookViewId="0">
      <selection activeCell="D12" sqref="D12"/>
    </sheetView>
  </sheetViews>
  <sheetFormatPr baseColWidth="10" defaultColWidth="11.44140625" defaultRowHeight="14.4"/>
  <cols>
    <col min="1" max="1" width="1.88671875" customWidth="1"/>
    <col min="2" max="2" width="12.88671875" customWidth="1"/>
    <col min="3" max="3" width="5" style="65" bestFit="1" customWidth="1"/>
    <col min="4" max="4" width="34.88671875" customWidth="1"/>
    <col min="5" max="5" width="13.4414062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19</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539">
        <v>2025</v>
      </c>
      <c r="D8" s="164" t="str">
        <f>IF(E10="NO APLICA","NO APLICA",IF(E11="NO SE REPORTA","SIN INFORMACION",+F20))</f>
        <v>NO APLICA</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716</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c>
      <c r="E11" s="294" t="s">
        <v>898</v>
      </c>
      <c r="F11" s="2396" t="s">
        <v>899</v>
      </c>
      <c r="G11" s="2397"/>
      <c r="H11" s="2397"/>
      <c r="I11" s="2397"/>
      <c r="J11" s="2397"/>
      <c r="K11" s="2397"/>
      <c r="L11" s="2397"/>
      <c r="M11" s="2397"/>
      <c r="N11" s="2397"/>
      <c r="O11" s="2397"/>
      <c r="P11" s="2397"/>
      <c r="Q11" s="2397"/>
      <c r="R11" s="2397"/>
      <c r="S11" s="2397"/>
    </row>
    <row r="12" spans="1:21" ht="23.4" customHeight="1">
      <c r="B12" s="290"/>
      <c r="C12" s="66"/>
      <c r="D12" s="141" t="str">
        <f>IF(E11="SI SE REPORTA","¿Qué programas o proyectos del Plan de Acción están asociados al indicador? ","")</f>
        <v/>
      </c>
      <c r="E12" s="2500"/>
      <c r="F12" s="2500"/>
      <c r="G12" s="2500"/>
      <c r="H12" s="2500"/>
      <c r="I12" s="2500"/>
      <c r="J12" s="2500"/>
      <c r="K12" s="2500"/>
      <c r="L12" s="2500"/>
      <c r="M12" s="2500"/>
      <c r="N12" s="2500"/>
      <c r="O12" s="2500"/>
      <c r="P12" s="2500"/>
      <c r="Q12" s="2500"/>
      <c r="R12" s="2500"/>
    </row>
    <row r="13" spans="1:21" ht="21.9" customHeight="1">
      <c r="B13" s="290"/>
      <c r="C13" s="66"/>
      <c r="D13" s="141" t="s">
        <v>746</v>
      </c>
      <c r="E13" s="2585" t="s">
        <v>1198</v>
      </c>
      <c r="F13" s="2586"/>
      <c r="G13" s="2586"/>
      <c r="H13" s="2586"/>
      <c r="I13" s="2586"/>
      <c r="J13" s="2586"/>
      <c r="K13" s="2586"/>
      <c r="L13" s="2586"/>
      <c r="M13" s="2586"/>
      <c r="N13" s="2586"/>
      <c r="O13" s="2586"/>
      <c r="P13" s="2586"/>
      <c r="Q13" s="2586"/>
      <c r="R13" s="2587"/>
    </row>
    <row r="14" spans="1:21" ht="6.9" customHeight="1" thickBot="1">
      <c r="B14" s="290"/>
      <c r="D14" s="5"/>
      <c r="E14" s="5"/>
      <c r="F14" s="5"/>
      <c r="G14" s="5"/>
      <c r="H14" s="5"/>
      <c r="I14" s="5"/>
      <c r="J14" s="5"/>
      <c r="K14" s="5"/>
    </row>
    <row r="15" spans="1:21" ht="15" thickTop="1">
      <c r="B15" s="2582" t="s">
        <v>747</v>
      </c>
      <c r="C15" s="67"/>
      <c r="D15" s="2412" t="s">
        <v>1103</v>
      </c>
      <c r="E15" s="2413"/>
      <c r="F15" s="2413"/>
      <c r="G15" s="2413"/>
      <c r="H15" s="2413"/>
      <c r="I15" s="2413"/>
      <c r="J15" s="2414"/>
      <c r="K15" s="5"/>
    </row>
    <row r="16" spans="1:21" ht="15" thickBot="1">
      <c r="B16" s="2422"/>
      <c r="C16" s="70"/>
      <c r="D16" s="2406" t="s">
        <v>1199</v>
      </c>
      <c r="E16" s="2407"/>
      <c r="F16" s="2407"/>
      <c r="G16" s="2407"/>
      <c r="H16" s="2407"/>
      <c r="I16" s="2407"/>
      <c r="J16" s="2408"/>
      <c r="K16" s="5"/>
    </row>
    <row r="17" spans="2:11" ht="15" thickBot="1">
      <c r="B17" s="2422"/>
      <c r="C17" s="72"/>
      <c r="D17" s="30" t="s">
        <v>1200</v>
      </c>
      <c r="E17" s="34" t="s">
        <v>1201</v>
      </c>
      <c r="F17" s="30" t="s">
        <v>592</v>
      </c>
      <c r="G17" s="30" t="s">
        <v>593</v>
      </c>
      <c r="H17" s="30" t="s">
        <v>594</v>
      </c>
      <c r="I17" s="30" t="s">
        <v>595</v>
      </c>
      <c r="J17" s="30" t="s">
        <v>905</v>
      </c>
      <c r="K17" s="5"/>
    </row>
    <row r="18" spans="2:11" ht="24.6" thickBot="1">
      <c r="B18" s="2422"/>
      <c r="C18" s="72"/>
      <c r="D18" s="32" t="s">
        <v>1202</v>
      </c>
      <c r="E18" s="302"/>
      <c r="F18" s="157"/>
      <c r="G18" s="157"/>
      <c r="H18" s="157"/>
      <c r="I18" s="157"/>
      <c r="J18" s="33">
        <f>SUM(F18:I18)</f>
        <v>0</v>
      </c>
      <c r="K18" s="15"/>
    </row>
    <row r="19" spans="2:11" ht="36.6" thickBot="1">
      <c r="B19" s="2422"/>
      <c r="C19" s="72"/>
      <c r="D19" s="32" t="s">
        <v>1203</v>
      </c>
      <c r="E19" s="157"/>
      <c r="F19" s="157"/>
      <c r="G19" s="157"/>
      <c r="H19" s="157"/>
      <c r="I19" s="157"/>
      <c r="J19" s="33">
        <f>SUM(F19:I19)</f>
        <v>0</v>
      </c>
      <c r="K19" s="15"/>
    </row>
    <row r="20" spans="2:11" ht="36.6" thickBot="1">
      <c r="B20" s="2422"/>
      <c r="C20" s="2"/>
      <c r="D20" s="32" t="s">
        <v>19</v>
      </c>
      <c r="E20" s="145" t="str">
        <f t="shared" ref="E20:J20" si="0">IFERROR(E19/E18,"N.A.")</f>
        <v>N.A.</v>
      </c>
      <c r="F20" s="145" t="str">
        <f t="shared" si="0"/>
        <v>N.A.</v>
      </c>
      <c r="G20" s="145" t="str">
        <f t="shared" si="0"/>
        <v>N.A.</v>
      </c>
      <c r="H20" s="145" t="str">
        <f t="shared" si="0"/>
        <v>N.A.</v>
      </c>
      <c r="I20" s="145" t="str">
        <f t="shared" si="0"/>
        <v>N.A.</v>
      </c>
      <c r="J20" s="145" t="str">
        <f t="shared" si="0"/>
        <v>N.A.</v>
      </c>
      <c r="K20" s="15"/>
    </row>
    <row r="21" spans="2:11" ht="11.1" customHeight="1" thickBot="1">
      <c r="B21" s="168"/>
      <c r="C21" s="67"/>
      <c r="D21" s="2406" t="s">
        <v>1204</v>
      </c>
      <c r="E21" s="2407"/>
      <c r="F21" s="2407"/>
      <c r="G21" s="2407"/>
      <c r="H21" s="2407"/>
      <c r="I21" s="2407"/>
      <c r="J21" s="2408"/>
      <c r="K21" s="5"/>
    </row>
    <row r="22" spans="2:11" ht="24.6" thickBot="1">
      <c r="B22" s="168"/>
      <c r="C22" s="70"/>
      <c r="D22" s="42" t="s">
        <v>1205</v>
      </c>
      <c r="E22" s="179" t="s">
        <v>1206</v>
      </c>
      <c r="F22" s="53" t="s">
        <v>1168</v>
      </c>
      <c r="G22" s="236"/>
      <c r="H22" s="237"/>
      <c r="I22" s="237"/>
      <c r="J22" s="238"/>
      <c r="K22" s="5"/>
    </row>
    <row r="23" spans="2:11" s="148" customFormat="1" ht="15" thickBot="1">
      <c r="B23" s="165"/>
      <c r="C23" s="173"/>
      <c r="D23" s="230"/>
      <c r="E23" s="400"/>
      <c r="F23" s="199"/>
      <c r="G23" s="231"/>
      <c r="J23" s="232"/>
      <c r="K23" s="15"/>
    </row>
    <row r="24" spans="2:11" s="148" customFormat="1" ht="15" thickBot="1">
      <c r="B24" s="165"/>
      <c r="C24" s="173"/>
      <c r="D24" s="230"/>
      <c r="E24" s="199"/>
      <c r="F24" s="199"/>
      <c r="G24" s="231"/>
      <c r="J24" s="232"/>
      <c r="K24" s="15"/>
    </row>
    <row r="25" spans="2:11" s="148" customFormat="1" ht="15" thickBot="1">
      <c r="B25" s="165"/>
      <c r="C25" s="173"/>
      <c r="D25" s="230"/>
      <c r="E25" s="199"/>
      <c r="F25" s="199"/>
      <c r="G25" s="231"/>
      <c r="J25" s="232"/>
      <c r="K25" s="15"/>
    </row>
    <row r="26" spans="2:11" s="148" customFormat="1" ht="15" thickBot="1">
      <c r="B26" s="165"/>
      <c r="C26" s="173"/>
      <c r="D26" s="230"/>
      <c r="E26" s="199"/>
      <c r="F26" s="199"/>
      <c r="G26" s="231"/>
      <c r="J26" s="232"/>
      <c r="K26" s="15"/>
    </row>
    <row r="27" spans="2:11" s="148" customFormat="1" ht="15" thickBot="1">
      <c r="B27" s="165"/>
      <c r="C27" s="173"/>
      <c r="D27" s="230"/>
      <c r="E27" s="199"/>
      <c r="F27" s="199"/>
      <c r="G27" s="231"/>
      <c r="J27" s="232"/>
      <c r="K27" s="15"/>
    </row>
    <row r="28" spans="2:11" s="148" customFormat="1" ht="15" thickBot="1">
      <c r="B28" s="165"/>
      <c r="C28" s="173"/>
      <c r="D28" s="230"/>
      <c r="E28" s="199"/>
      <c r="F28" s="199"/>
      <c r="G28" s="231"/>
      <c r="J28" s="232"/>
      <c r="K28" s="15"/>
    </row>
    <row r="29" spans="2:11" s="148" customFormat="1" ht="15" thickBot="1">
      <c r="B29" s="165"/>
      <c r="C29" s="173"/>
      <c r="D29" s="230"/>
      <c r="E29" s="199"/>
      <c r="F29" s="199"/>
      <c r="G29" s="231"/>
      <c r="J29" s="232"/>
      <c r="K29" s="15"/>
    </row>
    <row r="30" spans="2:11" s="148" customFormat="1" ht="15" thickBot="1">
      <c r="B30" s="165"/>
      <c r="C30" s="173"/>
      <c r="D30" s="230"/>
      <c r="E30" s="199"/>
      <c r="F30" s="199"/>
      <c r="G30" s="231"/>
      <c r="J30" s="232"/>
      <c r="K30" s="15"/>
    </row>
    <row r="31" spans="2:11" s="148" customFormat="1" ht="15" thickBot="1">
      <c r="B31" s="165"/>
      <c r="C31" s="173"/>
      <c r="D31" s="230"/>
      <c r="E31" s="199"/>
      <c r="F31" s="199"/>
      <c r="G31" s="231"/>
      <c r="J31" s="232"/>
      <c r="K31" s="15"/>
    </row>
    <row r="32" spans="2:11" s="148" customFormat="1" ht="15" thickBot="1">
      <c r="B32" s="165"/>
      <c r="C32" s="173"/>
      <c r="D32" s="230"/>
      <c r="E32" s="199"/>
      <c r="F32" s="199"/>
      <c r="G32" s="231"/>
      <c r="J32" s="232"/>
      <c r="K32" s="15"/>
    </row>
    <row r="33" spans="2:11" s="148" customFormat="1" ht="15" thickBot="1">
      <c r="B33" s="165"/>
      <c r="C33" s="173"/>
      <c r="D33" s="25"/>
      <c r="E33" s="25"/>
      <c r="F33" s="25"/>
      <c r="G33" s="231"/>
      <c r="J33" s="232"/>
    </row>
    <row r="34" spans="2:11" s="148" customFormat="1" ht="15" thickBot="1">
      <c r="B34" s="165"/>
      <c r="C34" s="173"/>
      <c r="D34" s="25"/>
      <c r="E34" s="25"/>
      <c r="F34" s="25"/>
      <c r="G34" s="231"/>
      <c r="J34" s="232"/>
    </row>
    <row r="35" spans="2:11" s="148" customFormat="1" ht="15" thickBot="1">
      <c r="B35" s="166"/>
      <c r="C35" s="169"/>
      <c r="D35" s="25"/>
      <c r="E35" s="25"/>
      <c r="F35" s="25"/>
      <c r="G35" s="233"/>
      <c r="H35" s="234"/>
      <c r="I35" s="234"/>
      <c r="J35" s="235"/>
    </row>
    <row r="36" spans="2:11" ht="15" thickBot="1">
      <c r="B36" s="37" t="s">
        <v>803</v>
      </c>
      <c r="C36" s="71"/>
      <c r="D36" s="2424" t="s">
        <v>1207</v>
      </c>
      <c r="E36" s="2425"/>
      <c r="F36" s="2425"/>
      <c r="G36" s="2425"/>
      <c r="H36" s="2425"/>
      <c r="I36" s="2425"/>
      <c r="J36" s="2426"/>
    </row>
    <row r="37" spans="2:11" ht="24.6" thickBot="1">
      <c r="B37" s="37" t="s">
        <v>805</v>
      </c>
      <c r="C37" s="71"/>
      <c r="D37" s="2424" t="s">
        <v>1117</v>
      </c>
      <c r="E37" s="2425"/>
      <c r="F37" s="2425"/>
      <c r="G37" s="2425"/>
      <c r="H37" s="2425"/>
      <c r="I37" s="2425"/>
      <c r="J37" s="2426"/>
    </row>
    <row r="38" spans="2:11" ht="15" thickBot="1">
      <c r="B38" s="106"/>
      <c r="C38" s="79"/>
      <c r="D38" s="106"/>
      <c r="E38" s="106"/>
      <c r="F38" s="106"/>
      <c r="G38" s="106"/>
      <c r="H38" s="106"/>
      <c r="I38" s="106"/>
      <c r="J38" s="106"/>
      <c r="K38" s="5"/>
    </row>
    <row r="39" spans="2:11" ht="24" customHeight="1" thickBot="1">
      <c r="B39" s="2431" t="s">
        <v>807</v>
      </c>
      <c r="C39" s="2432"/>
      <c r="D39" s="2432"/>
      <c r="E39" s="2433"/>
      <c r="F39" s="5"/>
      <c r="G39" s="5"/>
      <c r="H39" s="5"/>
      <c r="I39" s="5"/>
      <c r="J39" s="5"/>
      <c r="K39" s="5"/>
    </row>
    <row r="40" spans="2:11" ht="15" thickBot="1">
      <c r="B40" s="2421">
        <v>1</v>
      </c>
      <c r="C40" s="72"/>
      <c r="D40" s="38" t="s">
        <v>808</v>
      </c>
      <c r="E40" s="25"/>
      <c r="F40" s="5"/>
      <c r="G40" s="5"/>
      <c r="H40" s="5"/>
      <c r="I40" s="5"/>
      <c r="J40" s="5"/>
      <c r="K40" s="5"/>
    </row>
    <row r="41" spans="2:11" ht="15" thickBot="1">
      <c r="B41" s="2422"/>
      <c r="C41" s="72"/>
      <c r="D41" s="32" t="s">
        <v>528</v>
      </c>
      <c r="E41" s="25"/>
      <c r="F41" s="5"/>
      <c r="G41" s="5"/>
      <c r="H41" s="5"/>
      <c r="I41" s="5"/>
      <c r="J41" s="5"/>
      <c r="K41" s="5"/>
    </row>
    <row r="42" spans="2:11" ht="15" thickBot="1">
      <c r="B42" s="2422"/>
      <c r="C42" s="72"/>
      <c r="D42" s="32" t="s">
        <v>811</v>
      </c>
      <c r="E42" s="25"/>
      <c r="F42" s="5"/>
      <c r="G42" s="5"/>
      <c r="H42" s="5"/>
      <c r="I42" s="5"/>
      <c r="J42" s="5"/>
      <c r="K42" s="5"/>
    </row>
    <row r="43" spans="2:11" ht="15" thickBot="1">
      <c r="B43" s="2422"/>
      <c r="C43" s="72"/>
      <c r="D43" s="32" t="s">
        <v>531</v>
      </c>
      <c r="E43" s="25"/>
      <c r="F43" s="5"/>
      <c r="G43" s="5"/>
      <c r="H43" s="5"/>
      <c r="I43" s="5"/>
      <c r="J43" s="5"/>
      <c r="K43" s="5"/>
    </row>
    <row r="44" spans="2:11" ht="15" thickBot="1">
      <c r="B44" s="2422"/>
      <c r="C44" s="72"/>
      <c r="D44" s="32" t="s">
        <v>534</v>
      </c>
      <c r="E44" s="25"/>
      <c r="F44" s="5"/>
      <c r="G44" s="5"/>
      <c r="H44" s="5"/>
      <c r="I44" s="5"/>
      <c r="J44" s="5"/>
      <c r="K44" s="5"/>
    </row>
    <row r="45" spans="2:11" ht="15" thickBot="1">
      <c r="B45" s="2422"/>
      <c r="C45" s="72"/>
      <c r="D45" s="32" t="s">
        <v>537</v>
      </c>
      <c r="E45" s="25"/>
      <c r="F45" s="5"/>
      <c r="G45" s="5"/>
      <c r="H45" s="5"/>
      <c r="I45" s="5"/>
      <c r="J45" s="5"/>
      <c r="K45" s="5"/>
    </row>
    <row r="46" spans="2:11" ht="15" thickBot="1">
      <c r="B46" s="2423"/>
      <c r="C46" s="2"/>
      <c r="D46" s="32" t="s">
        <v>815</v>
      </c>
      <c r="E46" s="25"/>
      <c r="F46" s="5"/>
      <c r="G46" s="5"/>
      <c r="H46" s="5"/>
      <c r="I46" s="5"/>
      <c r="J46" s="5"/>
      <c r="K46" s="5"/>
    </row>
    <row r="47" spans="2:11" ht="15" thickBot="1">
      <c r="B47" s="1"/>
      <c r="C47" s="63"/>
      <c r="D47" s="5"/>
      <c r="E47" s="5"/>
      <c r="F47" s="5"/>
      <c r="G47" s="5"/>
      <c r="H47" s="5"/>
      <c r="I47" s="5"/>
      <c r="J47" s="5"/>
      <c r="K47" s="5"/>
    </row>
    <row r="48" spans="2:11" ht="15" thickBot="1">
      <c r="B48" s="2431" t="s">
        <v>817</v>
      </c>
      <c r="C48" s="2432"/>
      <c r="D48" s="2432"/>
      <c r="E48" s="2433"/>
      <c r="F48" s="5"/>
      <c r="G48" s="5"/>
      <c r="H48" s="5"/>
      <c r="I48" s="5"/>
      <c r="J48" s="5"/>
      <c r="K48" s="5"/>
    </row>
    <row r="49" spans="2:11" ht="15" thickBot="1">
      <c r="B49" s="2421">
        <v>1</v>
      </c>
      <c r="C49" s="72"/>
      <c r="D49" s="38" t="s">
        <v>808</v>
      </c>
      <c r="E49" s="170" t="s">
        <v>818</v>
      </c>
      <c r="F49" s="5"/>
      <c r="G49" s="5"/>
      <c r="H49" s="5"/>
      <c r="I49" s="5"/>
      <c r="J49" s="5"/>
      <c r="K49" s="5"/>
    </row>
    <row r="50" spans="2:11" ht="15" thickBot="1">
      <c r="B50" s="2422"/>
      <c r="C50" s="72"/>
      <c r="D50" s="32" t="s">
        <v>528</v>
      </c>
      <c r="E50" s="170" t="s">
        <v>819</v>
      </c>
      <c r="F50" s="5"/>
      <c r="G50" s="5"/>
      <c r="H50" s="5"/>
      <c r="I50" s="5"/>
      <c r="J50" s="5"/>
      <c r="K50" s="5"/>
    </row>
    <row r="51" spans="2:11" ht="15" thickBot="1">
      <c r="B51" s="2422"/>
      <c r="C51" s="72"/>
      <c r="D51" s="32" t="s">
        <v>811</v>
      </c>
      <c r="E51" s="187"/>
      <c r="F51" s="5"/>
      <c r="G51" s="5"/>
      <c r="H51" s="5"/>
      <c r="I51" s="5"/>
      <c r="J51" s="5"/>
      <c r="K51" s="5"/>
    </row>
    <row r="52" spans="2:11" ht="15" thickBot="1">
      <c r="B52" s="2422"/>
      <c r="C52" s="72"/>
      <c r="D52" s="32" t="s">
        <v>531</v>
      </c>
      <c r="E52" s="187"/>
      <c r="F52" s="5"/>
      <c r="G52" s="5"/>
      <c r="H52" s="5"/>
      <c r="I52" s="5"/>
      <c r="J52" s="5"/>
      <c r="K52" s="5"/>
    </row>
    <row r="53" spans="2:11" ht="15" thickBot="1">
      <c r="B53" s="2422"/>
      <c r="C53" s="72"/>
      <c r="D53" s="32" t="s">
        <v>534</v>
      </c>
      <c r="E53" s="187"/>
      <c r="F53" s="5"/>
      <c r="G53" s="5"/>
      <c r="H53" s="5"/>
      <c r="I53" s="5"/>
      <c r="J53" s="5"/>
      <c r="K53" s="5"/>
    </row>
    <row r="54" spans="2:11" ht="15" thickBot="1">
      <c r="B54" s="2422"/>
      <c r="C54" s="72"/>
      <c r="D54" s="32" t="s">
        <v>537</v>
      </c>
      <c r="E54" s="187"/>
      <c r="F54" s="5"/>
      <c r="G54" s="5"/>
      <c r="H54" s="5"/>
      <c r="I54" s="5"/>
      <c r="J54" s="5"/>
      <c r="K54" s="5"/>
    </row>
    <row r="55" spans="2:11" ht="15" thickBot="1">
      <c r="B55" s="2423"/>
      <c r="C55" s="2"/>
      <c r="D55" s="32" t="s">
        <v>815</v>
      </c>
      <c r="E55" s="187"/>
      <c r="F55" s="5"/>
      <c r="G55" s="5"/>
      <c r="H55" s="5"/>
      <c r="I55" s="5"/>
      <c r="J55" s="5"/>
      <c r="K55" s="5"/>
    </row>
    <row r="56" spans="2:11" ht="15" thickBot="1">
      <c r="B56" s="1"/>
      <c r="C56" s="63"/>
      <c r="D56" s="5"/>
      <c r="E56" s="5"/>
      <c r="F56" s="5"/>
      <c r="G56" s="5"/>
      <c r="H56" s="5"/>
      <c r="I56" s="5"/>
      <c r="J56" s="5"/>
      <c r="K56" s="5"/>
    </row>
    <row r="57" spans="2:11" ht="15" customHeight="1" thickBot="1">
      <c r="B57" s="99" t="s">
        <v>820</v>
      </c>
      <c r="C57" s="100"/>
      <c r="D57" s="100"/>
      <c r="E57" s="101"/>
      <c r="G57" s="5"/>
      <c r="H57" s="5"/>
      <c r="I57" s="5"/>
      <c r="J57" s="5"/>
      <c r="K57" s="5"/>
    </row>
    <row r="58" spans="2:11" ht="24.6" thickBot="1">
      <c r="B58" s="37" t="s">
        <v>821</v>
      </c>
      <c r="C58" s="32" t="s">
        <v>822</v>
      </c>
      <c r="D58" s="32" t="s">
        <v>823</v>
      </c>
      <c r="E58" s="32" t="s">
        <v>824</v>
      </c>
      <c r="F58" s="5"/>
      <c r="G58" s="5"/>
      <c r="H58" s="5"/>
      <c r="I58" s="5"/>
      <c r="J58" s="5"/>
    </row>
    <row r="59" spans="2:11" ht="72.599999999999994" thickBot="1">
      <c r="B59" s="39">
        <v>42401</v>
      </c>
      <c r="C59" s="32">
        <v>1</v>
      </c>
      <c r="D59" s="40" t="s">
        <v>1208</v>
      </c>
      <c r="E59" s="32"/>
      <c r="F59" s="5"/>
      <c r="G59" s="5"/>
      <c r="H59" s="5"/>
      <c r="I59" s="5"/>
      <c r="J59" s="5"/>
    </row>
    <row r="60" spans="2:11" ht="15" thickBot="1">
      <c r="B60" s="1"/>
      <c r="C60" s="63"/>
      <c r="D60" s="5"/>
      <c r="E60" s="5"/>
      <c r="F60" s="5"/>
      <c r="G60" s="5"/>
      <c r="H60" s="5"/>
      <c r="I60" s="5"/>
      <c r="J60" s="5"/>
      <c r="K60" s="5"/>
    </row>
    <row r="61" spans="2:11" ht="15" thickBot="1">
      <c r="B61" s="4" t="s">
        <v>1209</v>
      </c>
      <c r="C61" s="74"/>
      <c r="D61" s="5"/>
      <c r="E61" s="5"/>
      <c r="F61" s="5"/>
      <c r="G61" s="5"/>
      <c r="H61" s="5"/>
      <c r="I61" s="5"/>
      <c r="J61" s="5"/>
      <c r="K61" s="5"/>
    </row>
    <row r="62" spans="2:11">
      <c r="B62" s="2583"/>
      <c r="C62" s="2584"/>
      <c r="D62" s="2584"/>
      <c r="E62" s="5"/>
      <c r="F62" s="5"/>
      <c r="G62" s="5"/>
      <c r="H62" s="5"/>
      <c r="I62" s="5"/>
      <c r="J62" s="5"/>
      <c r="K62" s="5"/>
    </row>
    <row r="63" spans="2:11">
      <c r="B63" s="2583"/>
      <c r="C63" s="2584"/>
      <c r="D63" s="2584"/>
      <c r="E63" s="5"/>
      <c r="F63" s="5"/>
      <c r="G63" s="5"/>
      <c r="H63" s="5"/>
      <c r="I63" s="5"/>
      <c r="J63" s="5"/>
      <c r="K63" s="5"/>
    </row>
    <row r="64" spans="2:11" ht="15" thickBot="1">
      <c r="B64" s="5"/>
      <c r="D64" s="5"/>
      <c r="E64" s="5"/>
      <c r="F64" s="5"/>
      <c r="G64" s="5"/>
      <c r="H64" s="5"/>
      <c r="I64" s="5"/>
      <c r="J64" s="5"/>
      <c r="K64" s="5"/>
    </row>
    <row r="65" spans="2:11" ht="15" thickBot="1">
      <c r="B65" s="2431" t="s">
        <v>826</v>
      </c>
      <c r="C65" s="2432"/>
      <c r="D65" s="2433"/>
      <c r="E65" s="5"/>
      <c r="F65" s="5"/>
      <c r="G65" s="5"/>
      <c r="H65" s="5"/>
      <c r="I65" s="5"/>
      <c r="J65" s="5"/>
      <c r="K65" s="5"/>
    </row>
    <row r="66" spans="2:11" ht="48.6" thickBot="1">
      <c r="B66" s="37" t="s">
        <v>827</v>
      </c>
      <c r="C66" s="2"/>
      <c r="D66" s="32" t="s">
        <v>1210</v>
      </c>
      <c r="E66" s="5"/>
      <c r="F66" s="5"/>
      <c r="G66" s="5"/>
      <c r="H66" s="5"/>
      <c r="I66" s="5"/>
      <c r="J66" s="5"/>
      <c r="K66" s="5"/>
    </row>
    <row r="67" spans="2:11">
      <c r="B67" s="2421" t="s">
        <v>829</v>
      </c>
      <c r="C67" s="72"/>
      <c r="D67" s="43" t="s">
        <v>830</v>
      </c>
      <c r="E67" s="5"/>
      <c r="F67" s="5"/>
      <c r="G67" s="5"/>
      <c r="H67" s="5"/>
      <c r="I67" s="5"/>
      <c r="J67" s="5"/>
      <c r="K67" s="5"/>
    </row>
    <row r="68" spans="2:11" ht="108">
      <c r="B68" s="2422"/>
      <c r="C68" s="72"/>
      <c r="D68" s="36" t="s">
        <v>1211</v>
      </c>
      <c r="E68" s="5"/>
      <c r="F68" s="5"/>
      <c r="G68" s="5"/>
      <c r="H68" s="5"/>
      <c r="I68" s="5"/>
      <c r="J68" s="5"/>
      <c r="K68" s="5"/>
    </row>
    <row r="69" spans="2:11">
      <c r="B69" s="2422"/>
      <c r="C69" s="72"/>
      <c r="D69" s="43" t="s">
        <v>833</v>
      </c>
      <c r="E69" s="5"/>
      <c r="F69" s="5"/>
      <c r="G69" s="5"/>
      <c r="H69" s="5"/>
      <c r="I69" s="5"/>
      <c r="J69" s="5"/>
      <c r="K69" s="5"/>
    </row>
    <row r="70" spans="2:11">
      <c r="B70" s="2422"/>
      <c r="C70" s="72"/>
      <c r="D70" s="36" t="s">
        <v>1122</v>
      </c>
      <c r="E70" s="5"/>
      <c r="F70" s="5"/>
      <c r="G70" s="5"/>
      <c r="H70" s="5"/>
      <c r="I70" s="5"/>
      <c r="J70" s="5"/>
      <c r="K70" s="5"/>
    </row>
    <row r="71" spans="2:11">
      <c r="B71" s="2422"/>
      <c r="C71" s="72"/>
      <c r="D71" s="36" t="s">
        <v>1212</v>
      </c>
      <c r="E71" s="5"/>
      <c r="F71" s="5"/>
      <c r="G71" s="5"/>
      <c r="H71" s="5"/>
      <c r="I71" s="5"/>
      <c r="J71" s="5"/>
      <c r="K71" s="5"/>
    </row>
    <row r="72" spans="2:11">
      <c r="B72" s="2422"/>
      <c r="C72" s="72"/>
      <c r="D72" s="36" t="s">
        <v>949</v>
      </c>
      <c r="E72" s="5"/>
      <c r="F72" s="5"/>
      <c r="G72" s="5"/>
      <c r="H72" s="5"/>
      <c r="I72" s="5"/>
      <c r="J72" s="5"/>
      <c r="K72" s="5"/>
    </row>
    <row r="73" spans="2:11">
      <c r="B73" s="2422"/>
      <c r="C73" s="72"/>
      <c r="D73" s="36" t="s">
        <v>1213</v>
      </c>
      <c r="E73" s="5"/>
      <c r="F73" s="5"/>
      <c r="G73" s="5"/>
      <c r="H73" s="5"/>
      <c r="I73" s="5"/>
      <c r="J73" s="5"/>
      <c r="K73" s="5"/>
    </row>
    <row r="74" spans="2:11">
      <c r="B74" s="2422"/>
      <c r="C74" s="72"/>
      <c r="D74" s="36" t="s">
        <v>1214</v>
      </c>
      <c r="E74" s="5"/>
      <c r="F74" s="5"/>
      <c r="G74" s="5"/>
      <c r="H74" s="5"/>
      <c r="I74" s="5"/>
      <c r="J74" s="5"/>
      <c r="K74" s="5"/>
    </row>
    <row r="75" spans="2:11">
      <c r="B75" s="2422"/>
      <c r="C75" s="72"/>
      <c r="D75" s="36" t="s">
        <v>1215</v>
      </c>
      <c r="E75" s="5"/>
      <c r="F75" s="5"/>
      <c r="G75" s="5"/>
      <c r="H75" s="5"/>
      <c r="I75" s="5"/>
      <c r="J75" s="5"/>
      <c r="K75" s="5"/>
    </row>
    <row r="76" spans="2:11">
      <c r="B76" s="2422"/>
      <c r="C76" s="72"/>
      <c r="D76" s="36" t="s">
        <v>1216</v>
      </c>
      <c r="E76" s="5"/>
      <c r="F76" s="5"/>
      <c r="G76" s="5"/>
      <c r="H76" s="5"/>
      <c r="I76" s="5"/>
      <c r="J76" s="5"/>
      <c r="K76" s="5"/>
    </row>
    <row r="77" spans="2:11">
      <c r="B77" s="2422"/>
      <c r="C77" s="72"/>
      <c r="D77" s="43" t="s">
        <v>1085</v>
      </c>
      <c r="E77" s="5"/>
      <c r="F77" s="5"/>
      <c r="G77" s="5"/>
      <c r="H77" s="5"/>
      <c r="I77" s="5"/>
      <c r="J77" s="5"/>
      <c r="K77" s="5"/>
    </row>
    <row r="78" spans="2:11" ht="24.6" thickBot="1">
      <c r="B78" s="2423"/>
      <c r="C78" s="2"/>
      <c r="D78" s="32" t="s">
        <v>1187</v>
      </c>
      <c r="E78" s="5"/>
      <c r="F78" s="5"/>
      <c r="G78" s="5"/>
      <c r="H78" s="5"/>
      <c r="I78" s="5"/>
      <c r="J78" s="5"/>
      <c r="K78" s="5"/>
    </row>
    <row r="79" spans="2:11" ht="24.6" thickBot="1">
      <c r="B79" s="37" t="s">
        <v>842</v>
      </c>
      <c r="C79" s="2"/>
      <c r="D79" s="32"/>
      <c r="E79" s="5"/>
      <c r="F79" s="5"/>
      <c r="G79" s="5"/>
      <c r="H79" s="5"/>
      <c r="I79" s="5"/>
      <c r="J79" s="5"/>
      <c r="K79" s="5"/>
    </row>
    <row r="80" spans="2:11" ht="120">
      <c r="B80" s="2421" t="s">
        <v>843</v>
      </c>
      <c r="C80" s="72"/>
      <c r="D80" s="36" t="s">
        <v>1217</v>
      </c>
      <c r="E80" s="5"/>
      <c r="F80" s="5"/>
      <c r="G80" s="5"/>
      <c r="H80" s="5"/>
      <c r="I80" s="5"/>
      <c r="J80" s="5"/>
      <c r="K80" s="5"/>
    </row>
    <row r="81" spans="2:11" ht="72">
      <c r="B81" s="2422"/>
      <c r="C81" s="72"/>
      <c r="D81" s="36" t="s">
        <v>1218</v>
      </c>
      <c r="E81" s="5"/>
      <c r="F81" s="5"/>
      <c r="G81" s="5"/>
      <c r="H81" s="5"/>
      <c r="I81" s="5"/>
      <c r="J81" s="5"/>
      <c r="K81" s="5"/>
    </row>
    <row r="82" spans="2:11" ht="72">
      <c r="B82" s="2422"/>
      <c r="C82" s="72"/>
      <c r="D82" s="36" t="s">
        <v>1219</v>
      </c>
      <c r="E82" s="5"/>
      <c r="F82" s="5"/>
      <c r="G82" s="5"/>
      <c r="H82" s="5"/>
      <c r="I82" s="5"/>
      <c r="J82" s="5"/>
      <c r="K82" s="5"/>
    </row>
    <row r="83" spans="2:11" ht="96.6" thickBot="1">
      <c r="B83" s="2423"/>
      <c r="C83" s="2"/>
      <c r="D83" s="32" t="s">
        <v>1220</v>
      </c>
      <c r="E83" s="5"/>
      <c r="F83" s="5"/>
      <c r="G83" s="5"/>
      <c r="H83" s="5"/>
      <c r="I83" s="5"/>
      <c r="J83" s="5"/>
      <c r="K83" s="5"/>
    </row>
    <row r="84" spans="2:11" ht="36">
      <c r="B84" s="2421" t="s">
        <v>860</v>
      </c>
      <c r="C84" s="72"/>
      <c r="D84" s="43" t="s">
        <v>19</v>
      </c>
      <c r="E84" s="5"/>
      <c r="F84" s="5"/>
      <c r="G84" s="5"/>
      <c r="H84" s="5"/>
      <c r="I84" s="5"/>
      <c r="J84" s="5"/>
      <c r="K84" s="5"/>
    </row>
    <row r="85" spans="2:11">
      <c r="B85" s="2422"/>
      <c r="C85" s="72"/>
      <c r="D85" s="13"/>
      <c r="E85" s="5"/>
      <c r="F85" s="5"/>
      <c r="G85" s="5"/>
      <c r="H85" s="5"/>
      <c r="I85" s="5"/>
      <c r="J85" s="5"/>
      <c r="K85" s="5"/>
    </row>
    <row r="86" spans="2:11">
      <c r="B86" s="2422"/>
      <c r="C86" s="72"/>
      <c r="D86" s="36" t="s">
        <v>861</v>
      </c>
      <c r="E86" s="5"/>
      <c r="F86" s="5"/>
      <c r="G86" s="5"/>
      <c r="H86" s="5"/>
      <c r="I86" s="5"/>
      <c r="J86" s="5"/>
      <c r="K86" s="5"/>
    </row>
    <row r="87" spans="2:11" ht="50.4">
      <c r="B87" s="2422"/>
      <c r="C87" s="72"/>
      <c r="D87" s="36" t="s">
        <v>1221</v>
      </c>
      <c r="E87" s="5"/>
      <c r="F87" s="5"/>
      <c r="G87" s="5"/>
      <c r="H87" s="5"/>
      <c r="I87" s="5"/>
      <c r="J87" s="5"/>
      <c r="K87" s="5"/>
    </row>
    <row r="88" spans="2:11" ht="62.4">
      <c r="B88" s="2422"/>
      <c r="C88" s="72"/>
      <c r="D88" s="36" t="s">
        <v>1222</v>
      </c>
      <c r="E88" s="5"/>
      <c r="F88" s="5"/>
      <c r="G88" s="5"/>
      <c r="H88" s="5"/>
      <c r="I88" s="5"/>
      <c r="J88" s="5"/>
      <c r="K88" s="5"/>
    </row>
    <row r="89" spans="2:11" ht="27" thickBot="1">
      <c r="B89" s="2423"/>
      <c r="C89" s="2"/>
      <c r="D89" s="32" t="s">
        <v>1223</v>
      </c>
      <c r="E89" s="5"/>
      <c r="F89" s="5"/>
      <c r="G89" s="5"/>
      <c r="H89" s="5"/>
      <c r="I89" s="5"/>
      <c r="J89" s="5"/>
      <c r="K89" s="5"/>
    </row>
  </sheetData>
  <mergeCells count="25">
    <mergeCell ref="B10:D10"/>
    <mergeCell ref="F10:S10"/>
    <mergeCell ref="F11:S11"/>
    <mergeCell ref="E12:R12"/>
    <mergeCell ref="E13:R13"/>
    <mergeCell ref="B84:B89"/>
    <mergeCell ref="B15:B20"/>
    <mergeCell ref="D15:J15"/>
    <mergeCell ref="D16:J16"/>
    <mergeCell ref="D36:J36"/>
    <mergeCell ref="D37:J37"/>
    <mergeCell ref="B39:E39"/>
    <mergeCell ref="B40:B46"/>
    <mergeCell ref="B48:E48"/>
    <mergeCell ref="B49:B55"/>
    <mergeCell ref="B62:D63"/>
    <mergeCell ref="D21:J21"/>
    <mergeCell ref="B65:D65"/>
    <mergeCell ref="B67:B78"/>
    <mergeCell ref="B80:B83"/>
    <mergeCell ref="A1:P1"/>
    <mergeCell ref="A2:P2"/>
    <mergeCell ref="A3:P3"/>
    <mergeCell ref="A4:D4"/>
    <mergeCell ref="A5:P5"/>
  </mergeCells>
  <conditionalFormatting sqref="E12:R12">
    <cfRule type="expression" dxfId="89" priority="3">
      <formula>E11="SI SE REPORTA"</formula>
    </cfRule>
  </conditionalFormatting>
  <conditionalFormatting sqref="F10">
    <cfRule type="notContainsBlanks" dxfId="88" priority="6">
      <formula>LEN(TRIM(F10))&gt;0</formula>
    </cfRule>
  </conditionalFormatting>
  <conditionalFormatting sqref="F11:S11">
    <cfRule type="expression" dxfId="87" priority="1">
      <formula>E11="NO SE REPORTA"</formula>
    </cfRule>
    <cfRule type="expression" dxfId="86" priority="2">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I19" xr:uid="{00000000-0002-0000-0E00-000000000000}">
      <formula1>0</formula1>
    </dataValidation>
    <dataValidation allowBlank="1" showInputMessage="1" showErrorMessage="1" promptTitle="OJO" prompt="NO TOCAR" sqref="E20:J20 J18:J19" xr:uid="{00000000-0002-0000-0E00-000001000000}"/>
    <dataValidation type="whole" operator="greaterThanOrEqual" allowBlank="1" showInputMessage="1" showErrorMessage="1" errorTitle="ERROR" error="Valor en HECTAREAS (sin decimales)_x000a_" sqref="G38:H38" xr:uid="{00000000-0002-0000-0E00-000002000000}">
      <formula1>0</formula1>
    </dataValidation>
    <dataValidation allowBlank="1" showInputMessage="1" showErrorMessage="1" promptTitle="ESTADO" prompt="en preparación_x000a_en aprestamiento_x000a_en declaración_x000a_Declarado" sqref="I38" xr:uid="{00000000-0002-0000-0E00-000003000000}"/>
    <dataValidation type="list" allowBlank="1" showInputMessage="1" showErrorMessage="1" sqref="E11" xr:uid="{00000000-0002-0000-0E00-000004000000}">
      <formula1>REPORTE</formula1>
    </dataValidation>
    <dataValidation type="list" allowBlank="1" showInputMessage="1" showErrorMessage="1" sqref="E10" xr:uid="{00000000-0002-0000-0E00-000005000000}">
      <formula1>SI</formula1>
    </dataValidation>
  </dataValidations>
  <hyperlinks>
    <hyperlink ref="B9" location="'ANEXO 3'!A1" display="VOLVER AL INDICE" xr:uid="{00000000-0004-0000-0E00-000000000000}"/>
  </hyperlinks>
  <pageMargins left="0.25" right="0.25" top="0.75" bottom="0.75" header="0.3" footer="0.3"/>
  <pageSetup paperSize="17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dimension ref="A1:U184"/>
  <sheetViews>
    <sheetView topLeftCell="A37" workbookViewId="0">
      <selection activeCell="M43" sqref="M43"/>
    </sheetView>
  </sheetViews>
  <sheetFormatPr baseColWidth="10" defaultColWidth="11.44140625" defaultRowHeight="14.4"/>
  <cols>
    <col min="1" max="1" width="1.88671875" customWidth="1"/>
    <col min="2" max="2" width="12.88671875" customWidth="1"/>
    <col min="3" max="3" width="9.44140625" style="65" customWidth="1"/>
    <col min="4" max="4" width="27.33203125" customWidth="1"/>
    <col min="5" max="5" width="11.5546875" customWidth="1"/>
    <col min="6" max="6" width="13.5546875" customWidth="1"/>
    <col min="7" max="7" width="8.6640625" customWidth="1"/>
    <col min="8" max="8" width="12.109375" customWidth="1"/>
    <col min="11" max="11" width="17.109375" customWidth="1"/>
    <col min="12" max="12" width="23" customWidth="1"/>
    <col min="13" max="13" width="11" customWidth="1"/>
    <col min="14" max="14" width="10.33203125" customWidth="1"/>
    <col min="15" max="16" width="8.88671875" customWidth="1"/>
    <col min="17" max="17" width="2.55468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20</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c r="L6" s="5"/>
    </row>
    <row r="7" spans="1:21" ht="15" thickBot="1">
      <c r="B7" s="62"/>
      <c r="C7" s="64"/>
      <c r="D7" s="5"/>
      <c r="E7" s="14"/>
      <c r="F7" s="5" t="s">
        <v>738</v>
      </c>
      <c r="G7" s="5"/>
      <c r="H7" s="5"/>
      <c r="I7" s="5"/>
      <c r="J7" s="5"/>
      <c r="K7" s="5" t="s">
        <v>1224</v>
      </c>
    </row>
    <row r="8" spans="1:21" ht="15" thickBot="1">
      <c r="B8" s="141" t="s">
        <v>739</v>
      </c>
      <c r="C8" s="760">
        <v>2025</v>
      </c>
      <c r="D8" s="164">
        <f>IF(E10="NO APLICA","NO APLICA",IF(E11="NO SE REPORTA","SIN INFORMACION",+N34))</f>
        <v>1</v>
      </c>
      <c r="E8" s="161"/>
      <c r="F8" s="5" t="s">
        <v>740</v>
      </c>
      <c r="G8" s="5"/>
      <c r="H8" s="5"/>
      <c r="I8" s="5"/>
      <c r="J8" s="5"/>
      <c r="K8" s="5"/>
      <c r="L8" s="5"/>
    </row>
    <row r="9" spans="1:21">
      <c r="B9" s="290" t="s">
        <v>741</v>
      </c>
      <c r="C9" s="66"/>
      <c r="D9" s="5"/>
      <c r="E9" s="5"/>
      <c r="F9" s="5"/>
      <c r="G9" s="5"/>
      <c r="H9" s="5"/>
      <c r="I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595" t="s">
        <v>899</v>
      </c>
      <c r="G11" s="2596"/>
      <c r="H11" s="2596"/>
      <c r="I11" s="2596"/>
      <c r="J11" s="2596"/>
      <c r="K11" s="2596"/>
      <c r="L11" s="2596"/>
      <c r="M11" s="2596"/>
      <c r="N11" s="2596"/>
      <c r="O11" s="2596"/>
      <c r="P11" s="2596"/>
      <c r="Q11" s="2596"/>
      <c r="R11" s="2596"/>
      <c r="S11" s="2596"/>
    </row>
    <row r="12" spans="1:21" ht="66" customHeight="1">
      <c r="B12" s="290"/>
      <c r="C12" s="66"/>
      <c r="D12" s="141" t="str">
        <f>IF(E11="SI SE REPORTA","¿Qué programas o proyectos del Plan de Acción están asociados al indicador? ","")</f>
        <v xml:space="preserve">¿Qué programas o proyectos del Plan de Acción están asociados al indicador? </v>
      </c>
      <c r="E12" s="2500" t="s">
        <v>2112</v>
      </c>
      <c r="F12" s="2500"/>
      <c r="G12" s="2500"/>
      <c r="H12" s="2500"/>
      <c r="I12" s="2500"/>
      <c r="J12" s="2500"/>
      <c r="K12" s="2500"/>
      <c r="L12" s="2500"/>
      <c r="M12" s="2500"/>
      <c r="N12" s="2500"/>
      <c r="O12" s="2500"/>
      <c r="P12" s="2500"/>
      <c r="Q12" s="2500"/>
      <c r="R12" s="2500"/>
    </row>
    <row r="13" spans="1:21" ht="74.25" customHeight="1">
      <c r="B13" s="290"/>
      <c r="C13" s="66"/>
      <c r="D13" s="141" t="s">
        <v>746</v>
      </c>
      <c r="E13" s="2501" t="s">
        <v>2135</v>
      </c>
      <c r="F13" s="2502"/>
      <c r="G13" s="2502"/>
      <c r="H13" s="2502"/>
      <c r="I13" s="2502"/>
      <c r="J13" s="2502"/>
      <c r="K13" s="2502"/>
      <c r="L13" s="2502"/>
      <c r="M13" s="2502"/>
      <c r="N13" s="2502"/>
      <c r="O13" s="2502"/>
      <c r="P13" s="2502"/>
      <c r="Q13" s="2502"/>
      <c r="R13" s="2503"/>
    </row>
    <row r="14" spans="1:21" ht="6.9" customHeight="1" thickBot="1">
      <c r="B14" s="290"/>
      <c r="C14" s="66"/>
      <c r="D14" s="5"/>
      <c r="E14" s="5"/>
      <c r="F14" s="5"/>
      <c r="G14" s="5"/>
      <c r="H14" s="5"/>
      <c r="I14" s="5"/>
    </row>
    <row r="15" spans="1:21" ht="25.5" customHeight="1" thickBot="1">
      <c r="B15" s="2421" t="s">
        <v>747</v>
      </c>
      <c r="C15" s="67"/>
      <c r="D15" s="2412" t="s">
        <v>1103</v>
      </c>
      <c r="E15" s="2413"/>
      <c r="F15" s="2413"/>
      <c r="G15" s="2413"/>
      <c r="H15" s="2413"/>
      <c r="I15" s="2414"/>
      <c r="K15" s="244" t="s">
        <v>1200</v>
      </c>
      <c r="L15" s="244" t="s">
        <v>1225</v>
      </c>
      <c r="M15" s="244" t="s">
        <v>1226</v>
      </c>
      <c r="N15" s="250" t="s">
        <v>875</v>
      </c>
      <c r="O15" s="163"/>
    </row>
    <row r="16" spans="1:21" ht="33.75" customHeight="1" thickBot="1">
      <c r="B16" s="2422"/>
      <c r="C16" s="76" t="s">
        <v>698</v>
      </c>
      <c r="D16" s="34" t="s">
        <v>904</v>
      </c>
      <c r="E16" s="68" t="s">
        <v>905</v>
      </c>
      <c r="F16" s="5"/>
      <c r="G16" s="5"/>
      <c r="I16" s="17"/>
      <c r="K16" s="244" t="s">
        <v>1227</v>
      </c>
      <c r="L16" s="250" t="s">
        <v>1228</v>
      </c>
      <c r="M16" s="245">
        <v>0.05</v>
      </c>
      <c r="N16" s="245">
        <v>0.05</v>
      </c>
      <c r="O16" s="163"/>
    </row>
    <row r="17" spans="2:18" ht="55.2" customHeight="1" thickBot="1">
      <c r="B17" s="2422"/>
      <c r="C17" s="2" t="s">
        <v>906</v>
      </c>
      <c r="D17" s="32" t="s">
        <v>1229</v>
      </c>
      <c r="E17" s="496">
        <v>223571</v>
      </c>
      <c r="F17" s="553"/>
      <c r="G17" s="5"/>
      <c r="I17" s="17"/>
      <c r="K17" s="244" t="s">
        <v>1230</v>
      </c>
      <c r="L17" s="250" t="s">
        <v>1231</v>
      </c>
      <c r="M17" s="245">
        <v>0.15</v>
      </c>
      <c r="N17" s="245">
        <f>+M17+N16</f>
        <v>0.2</v>
      </c>
      <c r="O17" s="163"/>
    </row>
    <row r="18" spans="2:18" ht="42" customHeight="1" thickBot="1">
      <c r="B18" s="2422"/>
      <c r="C18" s="2" t="s">
        <v>908</v>
      </c>
      <c r="D18" s="32" t="s">
        <v>1232</v>
      </c>
      <c r="E18" s="758"/>
      <c r="F18" s="499"/>
      <c r="G18" s="5"/>
      <c r="I18" s="17"/>
      <c r="K18" s="244" t="s">
        <v>1233</v>
      </c>
      <c r="L18" s="250" t="s">
        <v>1234</v>
      </c>
      <c r="M18" s="245">
        <v>0.15</v>
      </c>
      <c r="N18" s="245">
        <f>+M18+N17</f>
        <v>0.35</v>
      </c>
      <c r="O18" s="163"/>
    </row>
    <row r="19" spans="2:18" ht="46.5" customHeight="1" thickBot="1">
      <c r="B19" s="2422"/>
      <c r="C19" s="2" t="s">
        <v>910</v>
      </c>
      <c r="D19" s="32" t="s">
        <v>1235</v>
      </c>
      <c r="E19" s="758">
        <v>223571</v>
      </c>
      <c r="F19" s="499"/>
      <c r="G19" s="5"/>
      <c r="I19" s="17"/>
      <c r="K19" s="244" t="s">
        <v>1236</v>
      </c>
      <c r="L19" s="250" t="s">
        <v>1237</v>
      </c>
      <c r="M19" s="245">
        <v>0.2</v>
      </c>
      <c r="N19" s="245">
        <f>+M19+N18</f>
        <v>0.55000000000000004</v>
      </c>
      <c r="O19" s="163"/>
    </row>
    <row r="20" spans="2:18" ht="34.65" customHeight="1" thickBot="1">
      <c r="B20" s="2422"/>
      <c r="C20" s="2" t="s">
        <v>1008</v>
      </c>
      <c r="D20" s="32" t="s">
        <v>1238</v>
      </c>
      <c r="E20" s="724">
        <f>+E18+E19</f>
        <v>223571</v>
      </c>
      <c r="F20" s="5"/>
      <c r="G20" s="5"/>
      <c r="I20" s="17"/>
      <c r="K20" s="244" t="s">
        <v>778</v>
      </c>
      <c r="L20" s="250" t="s">
        <v>1239</v>
      </c>
      <c r="M20" s="245">
        <v>0.2</v>
      </c>
      <c r="N20" s="245">
        <f>+M20+N19</f>
        <v>0.75</v>
      </c>
      <c r="O20" s="163"/>
    </row>
    <row r="21" spans="2:18" ht="34.65" customHeight="1" thickBot="1">
      <c r="B21" s="2422"/>
      <c r="C21" s="2" t="s">
        <v>1010</v>
      </c>
      <c r="D21" s="32" t="s">
        <v>2111</v>
      </c>
      <c r="E21" s="758"/>
      <c r="F21" s="499"/>
      <c r="G21" s="5"/>
      <c r="I21" s="17"/>
      <c r="K21" s="244" t="s">
        <v>1240</v>
      </c>
      <c r="L21" s="250" t="s">
        <v>1241</v>
      </c>
      <c r="M21" s="245">
        <v>0.25</v>
      </c>
      <c r="N21" s="245">
        <f>+M21+N20</f>
        <v>1</v>
      </c>
      <c r="R21" t="s">
        <v>1242</v>
      </c>
    </row>
    <row r="22" spans="2:18" ht="15" customHeight="1">
      <c r="B22" s="2422"/>
      <c r="C22" s="70"/>
      <c r="D22" s="2403"/>
      <c r="E22" s="2404"/>
      <c r="F22" s="2404"/>
      <c r="G22" s="2404"/>
      <c r="H22" s="2404"/>
      <c r="I22" s="2405"/>
      <c r="K22" s="244" t="s">
        <v>905</v>
      </c>
      <c r="L22" s="244"/>
      <c r="M22" s="245">
        <f>SUM(M16:M21)</f>
        <v>1</v>
      </c>
    </row>
    <row r="23" spans="2:18" ht="15" thickBot="1">
      <c r="B23" s="2422"/>
      <c r="C23" s="70"/>
      <c r="D23" s="2434" t="s">
        <v>1243</v>
      </c>
      <c r="E23" s="2435"/>
      <c r="F23" s="2435"/>
      <c r="G23" s="2435"/>
      <c r="H23" s="2435"/>
      <c r="I23" s="2436"/>
      <c r="J23" s="5"/>
      <c r="K23" s="5"/>
      <c r="L23" s="5"/>
    </row>
    <row r="24" spans="2:18" ht="15" customHeight="1" thickBot="1">
      <c r="B24" s="2422"/>
      <c r="C24" s="72"/>
      <c r="D24" s="30" t="s">
        <v>904</v>
      </c>
      <c r="E24" s="68" t="s">
        <v>592</v>
      </c>
      <c r="F24" s="30" t="s">
        <v>1147</v>
      </c>
      <c r="G24" s="30" t="s">
        <v>594</v>
      </c>
      <c r="H24" s="30" t="s">
        <v>595</v>
      </c>
      <c r="I24" s="30" t="s">
        <v>905</v>
      </c>
      <c r="J24" s="5"/>
      <c r="K24" s="2594" t="s">
        <v>1200</v>
      </c>
      <c r="L24" s="2594" t="s">
        <v>1244</v>
      </c>
      <c r="M24" s="2594" t="s">
        <v>592</v>
      </c>
      <c r="N24" s="2594" t="s">
        <v>593</v>
      </c>
      <c r="O24" s="2594" t="s">
        <v>594</v>
      </c>
      <c r="P24" s="2594" t="s">
        <v>595</v>
      </c>
    </row>
    <row r="25" spans="2:18" ht="15" customHeight="1" thickBot="1">
      <c r="B25" s="2422"/>
      <c r="C25" s="72"/>
      <c r="D25" s="31" t="s">
        <v>1245</v>
      </c>
      <c r="E25" s="758"/>
      <c r="F25" s="158"/>
      <c r="G25" s="158"/>
      <c r="H25" s="158"/>
      <c r="I25" s="241" t="str">
        <f>Formulas!$I$15</f>
        <v>ERROR: LA SUMA DE LA COLUMNA DEBE SER IGUAL A LA META ANUAL</v>
      </c>
      <c r="J25" s="5"/>
      <c r="K25" s="2594"/>
      <c r="L25" s="2594"/>
      <c r="M25" s="2594"/>
      <c r="N25" s="2594"/>
      <c r="O25" s="2594"/>
      <c r="P25" s="2594"/>
    </row>
    <row r="26" spans="2:18" ht="15" customHeight="1" thickBot="1">
      <c r="B26" s="2422"/>
      <c r="C26" s="72"/>
      <c r="D26" s="31" t="s">
        <v>1149</v>
      </c>
      <c r="E26" s="758"/>
      <c r="F26" s="158"/>
      <c r="G26" s="158"/>
      <c r="H26" s="158"/>
      <c r="I26" s="239"/>
      <c r="J26" s="5"/>
      <c r="K26" s="244" t="str">
        <f>+D26</f>
        <v>Sin iniciar</v>
      </c>
      <c r="L26" s="243"/>
      <c r="M26" s="240">
        <f>+$L26*E26</f>
        <v>0</v>
      </c>
      <c r="N26" s="240">
        <f>+$L26*F26</f>
        <v>0</v>
      </c>
      <c r="O26" s="240"/>
      <c r="P26" s="240"/>
    </row>
    <row r="27" spans="2:18" ht="15" customHeight="1" thickBot="1">
      <c r="B27" s="2422"/>
      <c r="C27" s="72"/>
      <c r="D27" s="31" t="s">
        <v>1246</v>
      </c>
      <c r="E27" s="758"/>
      <c r="F27" s="158"/>
      <c r="G27" s="158"/>
      <c r="H27" s="158"/>
      <c r="I27" s="239"/>
      <c r="J27" s="5"/>
      <c r="K27" s="244" t="str">
        <f>+D27</f>
        <v>En formulación</v>
      </c>
      <c r="L27" s="243"/>
      <c r="M27" s="240">
        <f>+$L27*E27</f>
        <v>0</v>
      </c>
      <c r="N27" s="240">
        <f>+$L27*F27</f>
        <v>0</v>
      </c>
      <c r="O27" s="240"/>
      <c r="P27" s="240"/>
    </row>
    <row r="28" spans="2:18" ht="15" customHeight="1" thickBot="1">
      <c r="B28" s="2422"/>
      <c r="C28" s="72"/>
      <c r="D28" s="31" t="s">
        <v>1247</v>
      </c>
      <c r="E28" s="758"/>
      <c r="F28" s="158">
        <v>223571</v>
      </c>
      <c r="G28" s="158"/>
      <c r="H28" s="158"/>
      <c r="I28" s="239"/>
      <c r="J28" s="5"/>
      <c r="K28" s="244" t="str">
        <f>+D28</f>
        <v>En actualización</v>
      </c>
      <c r="L28" s="243"/>
      <c r="M28" s="240">
        <f>+$L28*E28</f>
        <v>0</v>
      </c>
      <c r="N28" s="240">
        <v>223571</v>
      </c>
      <c r="O28" s="240"/>
      <c r="P28" s="240"/>
    </row>
    <row r="29" spans="2:18" ht="15" thickBot="1">
      <c r="B29" s="2422"/>
      <c r="C29" s="72"/>
      <c r="D29" s="31" t="s">
        <v>1248</v>
      </c>
      <c r="E29" s="758"/>
      <c r="F29" s="158"/>
      <c r="G29" s="158"/>
      <c r="H29" s="158"/>
      <c r="I29" s="239"/>
      <c r="J29" s="5"/>
      <c r="K29" s="244" t="str">
        <f>+D29</f>
        <v>Plan forestal adoptado</v>
      </c>
      <c r="L29" s="243"/>
      <c r="M29" s="240">
        <f>+$L29*E29</f>
        <v>0</v>
      </c>
      <c r="N29" s="240">
        <f>+$L29*F29</f>
        <v>0</v>
      </c>
      <c r="O29" s="240"/>
      <c r="P29" s="240"/>
    </row>
    <row r="30" spans="2:18" ht="15" customHeight="1" thickBot="1">
      <c r="B30" s="2422"/>
      <c r="C30" s="72"/>
      <c r="D30" s="31" t="s">
        <v>905</v>
      </c>
      <c r="E30" s="112" t="str">
        <f>Formulas!D15</f>
        <v>ERROR: LA SUMA DE LA COLUMNA DEBE SER IGUAL A LA META ANUAL</v>
      </c>
      <c r="F30" s="114">
        <f>Formulas!E15</f>
        <v>223571</v>
      </c>
      <c r="G30" s="114" t="str">
        <f>Formulas!F15</f>
        <v>ERROR: LA SUMA DE LA COLUMNA DEBE SER IGUAL A LA META ANUAL</v>
      </c>
      <c r="H30" s="114" t="str">
        <f>Formulas!G15</f>
        <v>ERROR: LA SUMA DE LA COLUMNA DEBE SER IGUAL A LA META ANUAL</v>
      </c>
      <c r="I30" s="239"/>
      <c r="J30" s="5"/>
      <c r="K30" s="244"/>
      <c r="L30" s="244" t="s">
        <v>1249</v>
      </c>
      <c r="M30" s="240">
        <f>SUM(M26:M29)</f>
        <v>0</v>
      </c>
      <c r="N30" s="240">
        <v>223571</v>
      </c>
      <c r="O30" s="240"/>
      <c r="P30" s="240"/>
    </row>
    <row r="31" spans="2:18" ht="14.4" customHeight="1">
      <c r="B31" s="2422"/>
      <c r="C31" s="70"/>
      <c r="D31" s="2412" t="s">
        <v>1250</v>
      </c>
      <c r="E31" s="2413"/>
      <c r="F31" s="2413"/>
      <c r="G31" s="2413"/>
      <c r="H31" s="2413"/>
      <c r="I31" s="2414"/>
      <c r="J31" s="5"/>
      <c r="K31" s="244"/>
      <c r="L31" s="244" t="s">
        <v>1251</v>
      </c>
      <c r="M31" s="242" t="e">
        <f>+M30/$I$25</f>
        <v>#VALUE!</v>
      </c>
      <c r="N31" s="242" t="e">
        <f>+N30/$I$25</f>
        <v>#VALUE!</v>
      </c>
      <c r="O31" s="242"/>
      <c r="P31" s="242"/>
    </row>
    <row r="32" spans="2:18" ht="24" customHeight="1">
      <c r="B32" s="2422"/>
      <c r="C32" s="70"/>
      <c r="D32" s="2403" t="s">
        <v>1252</v>
      </c>
      <c r="E32" s="2404"/>
      <c r="F32" s="2404"/>
      <c r="G32" s="2404"/>
      <c r="H32" s="2404"/>
      <c r="I32" s="2405"/>
      <c r="J32" s="5"/>
      <c r="K32" s="244"/>
      <c r="L32" s="244" t="s">
        <v>1253</v>
      </c>
      <c r="M32" s="242" t="e">
        <f>+M45</f>
        <v>#DIV/0!</v>
      </c>
      <c r="N32" s="242">
        <f>+N45</f>
        <v>0</v>
      </c>
      <c r="O32" s="242"/>
      <c r="P32" s="242"/>
    </row>
    <row r="33" spans="2:16" ht="15" customHeight="1" thickBot="1">
      <c r="B33" s="2422"/>
      <c r="C33" s="70"/>
      <c r="D33" s="2415" t="s">
        <v>1254</v>
      </c>
      <c r="E33" s="2416"/>
      <c r="F33" s="2416"/>
      <c r="G33" s="2416"/>
      <c r="H33" s="2416"/>
      <c r="I33" s="2417"/>
      <c r="J33" s="5"/>
      <c r="K33" s="244"/>
      <c r="L33" s="244" t="s">
        <v>1255</v>
      </c>
      <c r="M33" s="240">
        <f>+M46</f>
        <v>0</v>
      </c>
      <c r="N33" s="240">
        <v>223571</v>
      </c>
      <c r="O33" s="240"/>
      <c r="P33" s="240"/>
    </row>
    <row r="34" spans="2:16" ht="36.6" thickBot="1">
      <c r="B34" s="2422"/>
      <c r="C34" s="72"/>
      <c r="D34" s="34" t="s">
        <v>1256</v>
      </c>
      <c r="E34" s="34" t="s">
        <v>1257</v>
      </c>
      <c r="F34" s="34" t="s">
        <v>1258</v>
      </c>
      <c r="G34" s="34" t="s">
        <v>1259</v>
      </c>
      <c r="H34" s="34" t="s">
        <v>1260</v>
      </c>
      <c r="I34" s="17"/>
      <c r="J34" s="5"/>
      <c r="K34" s="244"/>
      <c r="L34" s="250" t="s">
        <v>20</v>
      </c>
      <c r="M34" s="242" t="e">
        <f>+M30/M33</f>
        <v>#DIV/0!</v>
      </c>
      <c r="N34" s="242">
        <f>+N30/N33</f>
        <v>1</v>
      </c>
      <c r="O34" s="242"/>
      <c r="P34" s="242"/>
    </row>
    <row r="35" spans="2:16" ht="15" customHeight="1" thickBot="1">
      <c r="B35" s="2422"/>
      <c r="C35" s="72"/>
      <c r="D35" s="25"/>
      <c r="E35" s="25"/>
      <c r="F35" s="158"/>
      <c r="G35" s="25"/>
      <c r="H35" s="25"/>
      <c r="I35" s="17"/>
      <c r="J35" s="5"/>
      <c r="K35" s="5"/>
      <c r="L35" s="5"/>
      <c r="M35" s="5"/>
      <c r="N35" s="5"/>
      <c r="O35" s="5"/>
      <c r="P35" s="5"/>
    </row>
    <row r="36" spans="2:16" ht="15" customHeight="1" thickBot="1">
      <c r="B36" s="2422"/>
      <c r="C36" s="72"/>
      <c r="D36" s="25"/>
      <c r="E36" s="25"/>
      <c r="F36" s="158"/>
      <c r="G36" s="25"/>
      <c r="H36" s="25"/>
      <c r="I36" s="17"/>
      <c r="J36" s="5"/>
      <c r="K36" s="5"/>
      <c r="L36" s="5"/>
    </row>
    <row r="37" spans="2:16" ht="15" customHeight="1" thickBot="1">
      <c r="B37" s="2422"/>
      <c r="C37" s="72"/>
      <c r="D37" s="25"/>
      <c r="E37" s="25"/>
      <c r="F37" s="158"/>
      <c r="G37" s="25"/>
      <c r="H37" s="25"/>
      <c r="I37" s="17"/>
      <c r="J37" s="5"/>
      <c r="K37" s="5"/>
      <c r="L37" t="s">
        <v>1261</v>
      </c>
    </row>
    <row r="38" spans="2:16" ht="15" customHeight="1" thickBot="1">
      <c r="B38" s="2422"/>
      <c r="C38" s="72"/>
      <c r="D38" s="25"/>
      <c r="E38" s="25"/>
      <c r="F38" s="158"/>
      <c r="G38" s="25"/>
      <c r="H38" s="25"/>
      <c r="I38" s="17"/>
      <c r="J38" s="5"/>
      <c r="K38" s="5"/>
      <c r="L38" s="5"/>
    </row>
    <row r="39" spans="2:16" ht="15" customHeight="1" thickBot="1">
      <c r="B39" s="2422"/>
      <c r="C39" s="72"/>
      <c r="D39" s="25"/>
      <c r="E39" s="25"/>
      <c r="F39" s="158"/>
      <c r="G39" s="25"/>
      <c r="H39" s="25"/>
      <c r="I39" s="17"/>
      <c r="J39" s="5"/>
      <c r="K39" s="2594" t="s">
        <v>1262</v>
      </c>
      <c r="L39" s="2594" t="s">
        <v>1263</v>
      </c>
      <c r="M39" s="2594" t="s">
        <v>1264</v>
      </c>
    </row>
    <row r="40" spans="2:16" ht="18.75" customHeight="1" thickBot="1">
      <c r="B40" s="2422"/>
      <c r="C40" s="72"/>
      <c r="D40" s="25"/>
      <c r="E40" s="25"/>
      <c r="F40" s="158"/>
      <c r="G40" s="25"/>
      <c r="H40" s="25"/>
      <c r="I40" s="17"/>
      <c r="J40" s="5"/>
      <c r="K40" s="2594"/>
      <c r="L40" s="2594"/>
      <c r="M40" s="2594"/>
    </row>
    <row r="41" spans="2:16" ht="15" thickBot="1">
      <c r="B41" s="2422"/>
      <c r="C41" s="72"/>
      <c r="D41" s="25"/>
      <c r="E41" s="25"/>
      <c r="F41" s="158"/>
      <c r="G41" s="25"/>
      <c r="H41" s="25"/>
      <c r="I41" s="17"/>
      <c r="J41" s="5"/>
      <c r="K41" s="244" t="str">
        <f>+K26</f>
        <v>Sin iniciar</v>
      </c>
      <c r="L41" s="272"/>
      <c r="M41" s="242">
        <v>0</v>
      </c>
    </row>
    <row r="42" spans="2:16" ht="15" thickBot="1">
      <c r="B42" s="2422"/>
      <c r="C42" s="72"/>
      <c r="D42" s="25"/>
      <c r="E42" s="25"/>
      <c r="F42" s="158"/>
      <c r="G42" s="25"/>
      <c r="H42" s="25"/>
      <c r="I42" s="17"/>
      <c r="J42" s="5"/>
      <c r="K42" s="244" t="str">
        <f>+K27</f>
        <v>En formulación</v>
      </c>
      <c r="L42" s="272"/>
      <c r="M42" s="246"/>
    </row>
    <row r="43" spans="2:16" ht="24" customHeight="1" thickBot="1">
      <c r="B43" s="2423"/>
      <c r="C43" s="71"/>
      <c r="D43" s="2434" t="s">
        <v>1265</v>
      </c>
      <c r="E43" s="2435"/>
      <c r="F43" s="2435"/>
      <c r="G43" s="2435"/>
      <c r="H43" s="2435"/>
      <c r="I43" s="2436"/>
      <c r="J43" s="5"/>
      <c r="K43" s="244" t="str">
        <f>+K28</f>
        <v>En actualización</v>
      </c>
      <c r="L43" s="272"/>
      <c r="M43" s="246">
        <v>0.3</v>
      </c>
    </row>
    <row r="44" spans="2:16" ht="24" customHeight="1" thickBot="1">
      <c r="B44" s="37" t="s">
        <v>803</v>
      </c>
      <c r="C44" s="71"/>
      <c r="D44" s="2424" t="s">
        <v>1266</v>
      </c>
      <c r="E44" s="2425"/>
      <c r="F44" s="2425"/>
      <c r="G44" s="2425"/>
      <c r="H44" s="2425"/>
      <c r="I44" s="2426"/>
      <c r="J44" s="5"/>
      <c r="K44" s="244" t="str">
        <f>+K29</f>
        <v>Plan forestal adoptado</v>
      </c>
      <c r="L44" s="272"/>
      <c r="M44" s="246"/>
    </row>
    <row r="45" spans="2:16" ht="24.6" thickBot="1">
      <c r="B45" s="37" t="s">
        <v>805</v>
      </c>
      <c r="C45" s="71"/>
      <c r="D45" s="2424" t="s">
        <v>1117</v>
      </c>
      <c r="E45" s="2425"/>
      <c r="F45" s="2425"/>
      <c r="G45" s="2425"/>
      <c r="H45" s="2425"/>
      <c r="I45" s="2426"/>
      <c r="J45" s="5"/>
      <c r="K45" s="244" t="s">
        <v>905</v>
      </c>
      <c r="L45" s="240">
        <f>SUM(L41:L44)</f>
        <v>0</v>
      </c>
      <c r="M45" s="242" t="e">
        <f>+M46/L45</f>
        <v>#DIV/0!</v>
      </c>
    </row>
    <row r="46" spans="2:16" ht="15" customHeight="1" thickBot="1">
      <c r="B46" s="1"/>
      <c r="C46" s="63"/>
      <c r="D46" s="5"/>
      <c r="E46" s="5"/>
      <c r="F46" s="5"/>
      <c r="G46" s="5"/>
      <c r="H46" s="5"/>
      <c r="I46" s="5"/>
      <c r="J46" s="5"/>
      <c r="K46" s="244"/>
      <c r="L46" s="244" t="s">
        <v>1267</v>
      </c>
      <c r="M46" s="240">
        <f>+L41*M41+L42*M42+L43*M43+L44*M44</f>
        <v>0</v>
      </c>
    </row>
    <row r="47" spans="2:16" ht="24" customHeight="1" thickBot="1">
      <c r="B47" s="2431" t="s">
        <v>807</v>
      </c>
      <c r="C47" s="2432"/>
      <c r="D47" s="2432"/>
      <c r="E47" s="2433"/>
      <c r="F47" s="5"/>
      <c r="G47" s="5"/>
      <c r="H47" s="5"/>
      <c r="I47" s="5"/>
      <c r="J47" s="5"/>
      <c r="K47" s="5"/>
      <c r="L47" s="5"/>
      <c r="M47" s="5"/>
      <c r="N47" s="5"/>
    </row>
    <row r="48" spans="2:16" ht="15" customHeight="1" thickBot="1">
      <c r="B48" s="2421">
        <v>1</v>
      </c>
      <c r="C48" s="72"/>
      <c r="D48" s="38" t="s">
        <v>808</v>
      </c>
      <c r="E48" s="25" t="s">
        <v>809</v>
      </c>
      <c r="F48" s="5"/>
      <c r="G48" s="5"/>
      <c r="H48" s="5"/>
      <c r="I48" s="5"/>
      <c r="J48" s="5"/>
      <c r="K48" s="5"/>
      <c r="L48" s="5"/>
      <c r="M48" s="5"/>
      <c r="N48" s="5"/>
    </row>
    <row r="49" spans="2:14" ht="15" customHeight="1" thickBot="1">
      <c r="B49" s="2422"/>
      <c r="C49" s="72"/>
      <c r="D49" s="32" t="s">
        <v>528</v>
      </c>
      <c r="E49" s="24" t="s">
        <v>1268</v>
      </c>
      <c r="F49" s="5"/>
      <c r="G49" s="5"/>
      <c r="H49" s="5"/>
      <c r="I49" s="5"/>
      <c r="J49" s="5"/>
      <c r="K49" s="5"/>
      <c r="L49" s="5"/>
      <c r="M49" s="5"/>
      <c r="N49" s="5"/>
    </row>
    <row r="50" spans="2:14" ht="15" customHeight="1" thickBot="1">
      <c r="B50" s="2422"/>
      <c r="C50" s="72"/>
      <c r="D50" s="32" t="s">
        <v>811</v>
      </c>
      <c r="E50" s="24" t="s">
        <v>915</v>
      </c>
      <c r="F50" s="5"/>
      <c r="G50" s="5"/>
      <c r="H50" s="5"/>
      <c r="I50" s="5"/>
      <c r="J50" s="5"/>
      <c r="K50" s="5"/>
      <c r="L50" s="5"/>
      <c r="M50" s="5"/>
      <c r="N50" s="5"/>
    </row>
    <row r="51" spans="2:14" ht="15" customHeight="1" thickBot="1">
      <c r="B51" s="2422"/>
      <c r="C51" s="72"/>
      <c r="D51" s="32" t="s">
        <v>531</v>
      </c>
      <c r="E51" s="25" t="s">
        <v>967</v>
      </c>
      <c r="F51" s="5"/>
      <c r="G51" s="5"/>
      <c r="H51" s="5"/>
      <c r="I51" s="5"/>
      <c r="J51" s="5"/>
      <c r="K51" s="5"/>
      <c r="L51" s="5"/>
      <c r="M51" s="5"/>
      <c r="N51" s="5"/>
    </row>
    <row r="52" spans="2:14" ht="15" customHeight="1" thickBot="1">
      <c r="B52" s="2422"/>
      <c r="C52" s="72"/>
      <c r="D52" s="32" t="s">
        <v>534</v>
      </c>
      <c r="E52" s="490" t="s">
        <v>814</v>
      </c>
      <c r="F52" s="5"/>
      <c r="G52" s="5"/>
      <c r="H52" s="5"/>
      <c r="I52" s="5"/>
      <c r="J52" s="5"/>
      <c r="K52" s="5"/>
      <c r="L52" s="5"/>
    </row>
    <row r="53" spans="2:14" ht="15" customHeight="1" thickBot="1">
      <c r="B53" s="2422"/>
      <c r="C53" s="72"/>
      <c r="D53" s="32" t="s">
        <v>537</v>
      </c>
      <c r="E53" s="131">
        <v>3686626</v>
      </c>
      <c r="F53" s="5"/>
      <c r="G53" s="5"/>
      <c r="H53" s="5"/>
      <c r="I53" s="5"/>
      <c r="J53" s="5"/>
      <c r="K53" s="5"/>
      <c r="L53" s="5"/>
    </row>
    <row r="54" spans="2:14" ht="15" customHeight="1" thickBot="1">
      <c r="B54" s="2423"/>
      <c r="C54" s="2"/>
      <c r="D54" s="32" t="s">
        <v>815</v>
      </c>
      <c r="E54" s="24" t="s">
        <v>816</v>
      </c>
      <c r="F54" s="5"/>
      <c r="G54" s="5"/>
      <c r="H54" s="5"/>
      <c r="I54" s="5"/>
      <c r="J54" s="5"/>
      <c r="K54" s="5"/>
      <c r="L54" s="5"/>
    </row>
    <row r="55" spans="2:14" ht="15" customHeight="1" thickBot="1">
      <c r="B55" s="1"/>
      <c r="C55" s="63"/>
      <c r="D55" s="5"/>
      <c r="E55" s="5"/>
      <c r="F55" s="5"/>
      <c r="G55" s="5"/>
      <c r="H55" s="5"/>
      <c r="I55" s="5"/>
      <c r="J55" s="5"/>
      <c r="K55" s="5"/>
      <c r="L55" s="5"/>
    </row>
    <row r="56" spans="2:14" ht="15" customHeight="1" thickBot="1">
      <c r="B56" s="2431" t="s">
        <v>817</v>
      </c>
      <c r="C56" s="2432"/>
      <c r="D56" s="2432"/>
      <c r="E56" s="2433"/>
      <c r="F56" s="5"/>
      <c r="G56" s="5"/>
      <c r="H56" s="5"/>
      <c r="I56" s="5"/>
      <c r="J56" s="5"/>
      <c r="K56" s="5"/>
      <c r="L56" s="5"/>
    </row>
    <row r="57" spans="2:14" ht="15" customHeight="1" thickBot="1">
      <c r="B57" s="2421">
        <v>1</v>
      </c>
      <c r="C57" s="72"/>
      <c r="D57" s="38" t="s">
        <v>808</v>
      </c>
      <c r="E57" s="28" t="s">
        <v>818</v>
      </c>
      <c r="F57" s="5"/>
      <c r="G57" s="5"/>
      <c r="H57" s="5"/>
      <c r="I57" s="5"/>
      <c r="J57" s="5"/>
      <c r="K57" s="5"/>
      <c r="L57" s="5"/>
    </row>
    <row r="58" spans="2:14" ht="48" customHeight="1" thickBot="1">
      <c r="B58" s="2422"/>
      <c r="C58" s="72"/>
      <c r="D58" s="32" t="s">
        <v>528</v>
      </c>
      <c r="E58" s="28" t="s">
        <v>916</v>
      </c>
      <c r="F58" s="5"/>
      <c r="G58" s="5"/>
      <c r="H58" s="5"/>
      <c r="I58" s="5"/>
      <c r="J58" s="5"/>
      <c r="K58" s="5"/>
      <c r="L58" s="5"/>
    </row>
    <row r="59" spans="2:14" ht="15" customHeight="1" thickBot="1">
      <c r="B59" s="2422"/>
      <c r="C59" s="72"/>
      <c r="D59" s="32" t="s">
        <v>811</v>
      </c>
      <c r="E59" s="187"/>
      <c r="F59" s="5"/>
      <c r="G59" s="5"/>
      <c r="H59" s="5"/>
      <c r="I59" s="5"/>
      <c r="J59" s="5"/>
      <c r="K59" s="5"/>
      <c r="L59" s="5"/>
    </row>
    <row r="60" spans="2:14" ht="15" customHeight="1" thickBot="1">
      <c r="B60" s="2422"/>
      <c r="C60" s="72"/>
      <c r="D60" s="32" t="s">
        <v>531</v>
      </c>
      <c r="E60" s="187"/>
      <c r="F60" s="5"/>
      <c r="G60" s="5"/>
      <c r="H60" s="5"/>
      <c r="I60" s="5"/>
      <c r="J60" s="5"/>
      <c r="K60" s="5"/>
      <c r="L60" s="5"/>
    </row>
    <row r="61" spans="2:14" ht="15" thickBot="1">
      <c r="B61" s="2422"/>
      <c r="C61" s="72"/>
      <c r="D61" s="32" t="s">
        <v>534</v>
      </c>
      <c r="E61" s="187"/>
      <c r="F61" s="5"/>
      <c r="G61" s="5"/>
      <c r="H61" s="5"/>
      <c r="I61" s="5"/>
      <c r="J61" s="5"/>
      <c r="K61" s="5"/>
      <c r="L61" s="5"/>
    </row>
    <row r="62" spans="2:14" ht="15" thickBot="1">
      <c r="B62" s="2422"/>
      <c r="C62" s="72"/>
      <c r="D62" s="32" t="s">
        <v>537</v>
      </c>
      <c r="E62" s="187"/>
      <c r="F62" s="5"/>
      <c r="G62" s="5"/>
      <c r="H62" s="5"/>
      <c r="I62" s="5"/>
      <c r="J62" s="5"/>
      <c r="K62" s="5"/>
      <c r="L62" s="5"/>
    </row>
    <row r="63" spans="2:14" ht="15" customHeight="1" thickBot="1">
      <c r="B63" s="2423"/>
      <c r="C63" s="2"/>
      <c r="D63" s="32" t="s">
        <v>815</v>
      </c>
      <c r="E63" s="187"/>
      <c r="F63" s="5"/>
      <c r="G63" s="5"/>
      <c r="H63" s="5"/>
      <c r="I63" s="5"/>
      <c r="J63" s="5"/>
      <c r="K63" s="5"/>
      <c r="L63" s="5"/>
    </row>
    <row r="64" spans="2:14" ht="15" customHeight="1" thickBot="1">
      <c r="B64" s="106"/>
      <c r="C64" s="79"/>
      <c r="D64" s="106"/>
      <c r="E64" s="5"/>
      <c r="F64" s="5"/>
      <c r="G64" s="5"/>
      <c r="H64" s="5"/>
      <c r="I64" s="5"/>
      <c r="J64" s="5"/>
      <c r="K64" s="5"/>
      <c r="L64" s="5"/>
    </row>
    <row r="65" spans="2:12" ht="15" customHeight="1">
      <c r="B65" s="105" t="s">
        <v>1209</v>
      </c>
      <c r="C65" s="74"/>
      <c r="D65" s="5"/>
      <c r="E65" s="5"/>
      <c r="F65" s="5"/>
      <c r="G65" s="5"/>
      <c r="H65" s="5"/>
      <c r="I65" s="5"/>
      <c r="J65" s="5"/>
      <c r="K65" s="5"/>
      <c r="L65" s="5"/>
    </row>
    <row r="66" spans="2:12">
      <c r="B66" s="2588"/>
      <c r="C66" s="2589"/>
      <c r="D66" s="2590"/>
      <c r="E66" s="5"/>
      <c r="F66" s="5"/>
      <c r="G66" s="5"/>
      <c r="H66" s="5"/>
      <c r="I66" s="5"/>
      <c r="J66" s="5"/>
      <c r="K66" s="5"/>
      <c r="L66" s="5"/>
    </row>
    <row r="67" spans="2:12">
      <c r="B67" s="2591"/>
      <c r="C67" s="2592"/>
      <c r="D67" s="2593"/>
      <c r="E67" s="5"/>
      <c r="F67" s="5"/>
      <c r="G67" s="5"/>
      <c r="H67" s="5"/>
      <c r="I67" s="5"/>
      <c r="J67" s="5"/>
      <c r="K67" s="5"/>
      <c r="L67" s="5"/>
    </row>
    <row r="68" spans="2:12" ht="15" thickBot="1">
      <c r="B68" s="106"/>
      <c r="C68" s="79"/>
      <c r="D68" s="106"/>
      <c r="E68" s="5"/>
      <c r="F68" s="5"/>
      <c r="G68" s="5"/>
      <c r="H68" s="5"/>
      <c r="I68" s="5"/>
      <c r="J68" s="5"/>
      <c r="K68" s="5"/>
      <c r="L68" s="5"/>
    </row>
    <row r="69" spans="2:12" ht="15" thickBot="1">
      <c r="B69" s="2431" t="s">
        <v>820</v>
      </c>
      <c r="C69" s="2432"/>
      <c r="D69" s="2432"/>
      <c r="E69" s="2432"/>
      <c r="F69" s="2433"/>
      <c r="G69" s="5"/>
      <c r="H69" s="5"/>
      <c r="I69" s="5"/>
      <c r="J69" s="5"/>
      <c r="K69" s="5"/>
      <c r="L69" s="5"/>
    </row>
    <row r="70" spans="2:12" ht="24.6" thickBot="1">
      <c r="B70" s="37" t="s">
        <v>821</v>
      </c>
      <c r="C70" s="32" t="s">
        <v>822</v>
      </c>
      <c r="D70" s="32" t="s">
        <v>823</v>
      </c>
      <c r="E70" s="32" t="s">
        <v>824</v>
      </c>
      <c r="F70" s="5"/>
      <c r="G70" s="5"/>
      <c r="H70" s="5"/>
      <c r="I70" s="5"/>
      <c r="J70" s="5"/>
      <c r="K70" s="5"/>
      <c r="L70" s="5"/>
    </row>
    <row r="71" spans="2:12" ht="84.6" thickBot="1">
      <c r="B71" s="39">
        <v>42401</v>
      </c>
      <c r="C71" s="32">
        <v>0.01</v>
      </c>
      <c r="D71" s="40" t="s">
        <v>1269</v>
      </c>
      <c r="E71" s="32"/>
      <c r="F71" s="5"/>
      <c r="G71" s="5"/>
      <c r="H71" s="5"/>
      <c r="I71" s="5"/>
      <c r="J71" s="5"/>
      <c r="K71" s="5"/>
    </row>
    <row r="72" spans="2:12">
      <c r="B72" s="1"/>
      <c r="C72" s="63"/>
      <c r="D72" s="5"/>
      <c r="E72" s="5"/>
      <c r="F72" s="5"/>
      <c r="G72" s="5"/>
      <c r="H72" s="5"/>
      <c r="I72" s="5"/>
      <c r="J72" s="5"/>
      <c r="K72" s="5"/>
    </row>
    <row r="73" spans="2:12" ht="15" thickBot="1">
      <c r="B73" s="5"/>
      <c r="D73" s="5"/>
      <c r="E73" s="5"/>
      <c r="F73" s="5"/>
      <c r="G73" s="5"/>
      <c r="H73" s="5"/>
      <c r="I73" s="5"/>
      <c r="J73" s="5"/>
      <c r="K73" s="5"/>
      <c r="L73" s="5"/>
    </row>
    <row r="74" spans="2:12" ht="15" thickBot="1">
      <c r="B74" s="2431" t="s">
        <v>826</v>
      </c>
      <c r="C74" s="2432"/>
      <c r="D74" s="2433"/>
      <c r="E74" s="5"/>
      <c r="F74" s="5"/>
      <c r="G74" s="5"/>
      <c r="H74" s="5"/>
      <c r="I74" s="5"/>
      <c r="J74" s="5"/>
      <c r="K74" s="5"/>
      <c r="L74" s="5"/>
    </row>
    <row r="75" spans="2:12" ht="60.6" thickBot="1">
      <c r="B75" s="37" t="s">
        <v>827</v>
      </c>
      <c r="C75" s="2"/>
      <c r="D75" s="32" t="s">
        <v>1270</v>
      </c>
      <c r="E75" s="5"/>
      <c r="F75" s="5"/>
      <c r="G75" s="5"/>
      <c r="H75" s="5"/>
      <c r="I75" s="5"/>
      <c r="J75" s="5"/>
      <c r="K75" s="5"/>
      <c r="L75" s="5"/>
    </row>
    <row r="76" spans="2:12">
      <c r="B76" s="2421" t="s">
        <v>829</v>
      </c>
      <c r="C76" s="72"/>
      <c r="D76" s="43" t="s">
        <v>830</v>
      </c>
      <c r="E76" s="5"/>
      <c r="F76" s="5"/>
      <c r="G76" s="5"/>
      <c r="H76" s="5"/>
      <c r="I76" s="5"/>
      <c r="J76" s="5"/>
      <c r="K76" s="5"/>
      <c r="L76" s="5"/>
    </row>
    <row r="77" spans="2:12" ht="144">
      <c r="B77" s="2422"/>
      <c r="C77" s="72"/>
      <c r="D77" s="36" t="s">
        <v>1271</v>
      </c>
      <c r="E77" s="5"/>
      <c r="F77" s="5"/>
      <c r="G77" s="5"/>
      <c r="H77" s="5"/>
      <c r="I77" s="5"/>
      <c r="J77" s="5"/>
      <c r="K77" s="5"/>
      <c r="L77" s="5"/>
    </row>
    <row r="78" spans="2:12">
      <c r="B78" s="2422"/>
      <c r="C78" s="72"/>
      <c r="D78" s="43" t="s">
        <v>833</v>
      </c>
      <c r="E78" s="5"/>
      <c r="F78" s="5"/>
      <c r="G78" s="5"/>
      <c r="H78" s="5"/>
      <c r="I78" s="5"/>
      <c r="J78" s="5"/>
      <c r="K78" s="5"/>
      <c r="L78" s="5"/>
    </row>
    <row r="79" spans="2:12">
      <c r="B79" s="2422"/>
      <c r="C79" s="72"/>
      <c r="D79" s="51" t="s">
        <v>1272</v>
      </c>
      <c r="E79" s="5"/>
      <c r="F79" s="5"/>
      <c r="G79" s="5"/>
      <c r="H79" s="5"/>
      <c r="I79" s="5"/>
      <c r="J79" s="5"/>
      <c r="K79" s="5"/>
      <c r="L79" s="5"/>
    </row>
    <row r="80" spans="2:12">
      <c r="B80" s="2422"/>
      <c r="C80" s="72"/>
      <c r="D80" s="51" t="s">
        <v>1273</v>
      </c>
      <c r="E80" s="5"/>
      <c r="F80" s="5"/>
      <c r="G80" s="5"/>
      <c r="H80" s="5"/>
      <c r="I80" s="5"/>
      <c r="J80" s="5"/>
      <c r="K80" s="5"/>
      <c r="L80" s="5"/>
    </row>
    <row r="81" spans="2:12">
      <c r="B81" s="2422"/>
      <c r="C81" s="72"/>
      <c r="D81" s="51" t="s">
        <v>1274</v>
      </c>
      <c r="E81" s="5"/>
      <c r="F81" s="5"/>
      <c r="G81" s="5"/>
      <c r="H81" s="5"/>
      <c r="I81" s="5"/>
      <c r="J81" s="5"/>
      <c r="K81" s="5"/>
      <c r="L81" s="5"/>
    </row>
    <row r="82" spans="2:12">
      <c r="B82" s="2422"/>
      <c r="C82" s="72"/>
      <c r="D82" s="51" t="s">
        <v>1275</v>
      </c>
      <c r="E82" s="5"/>
      <c r="F82" s="5"/>
      <c r="G82" s="5"/>
      <c r="H82" s="5"/>
      <c r="I82" s="5"/>
      <c r="J82" s="5"/>
      <c r="K82" s="5"/>
      <c r="L82" s="5"/>
    </row>
    <row r="83" spans="2:12">
      <c r="B83" s="2422"/>
      <c r="C83" s="72"/>
      <c r="D83" s="43" t="s">
        <v>1085</v>
      </c>
      <c r="E83" s="5"/>
      <c r="F83" s="5"/>
      <c r="G83" s="5"/>
      <c r="H83" s="5"/>
      <c r="I83" s="5"/>
      <c r="J83" s="5"/>
      <c r="K83" s="5"/>
      <c r="L83" s="5"/>
    </row>
    <row r="84" spans="2:12" ht="36.6" thickBot="1">
      <c r="B84" s="2423"/>
      <c r="C84" s="2"/>
      <c r="D84" s="32" t="s">
        <v>1187</v>
      </c>
      <c r="E84" s="5"/>
      <c r="F84" s="5"/>
      <c r="G84" s="5"/>
      <c r="H84" s="5"/>
      <c r="I84" s="5"/>
      <c r="J84" s="5"/>
      <c r="K84" s="5"/>
      <c r="L84" s="5"/>
    </row>
    <row r="85" spans="2:12">
      <c r="B85" s="2421" t="s">
        <v>842</v>
      </c>
      <c r="C85" s="77"/>
      <c r="D85" s="2421"/>
      <c r="E85" s="5"/>
      <c r="F85" s="5"/>
      <c r="G85" s="5"/>
      <c r="H85" s="5"/>
      <c r="I85" s="5"/>
      <c r="J85" s="5"/>
      <c r="K85" s="5"/>
      <c r="L85" s="5"/>
    </row>
    <row r="86" spans="2:12" ht="15" thickBot="1">
      <c r="B86" s="2423"/>
      <c r="C86" s="78"/>
      <c r="D86" s="2423"/>
      <c r="E86" s="5"/>
      <c r="F86" s="5"/>
      <c r="G86" s="5"/>
      <c r="H86" s="5"/>
      <c r="I86" s="5"/>
      <c r="J86" s="5"/>
      <c r="K86" s="5"/>
      <c r="L86" s="5"/>
    </row>
    <row r="87" spans="2:12" ht="144">
      <c r="B87" s="2421" t="s">
        <v>843</v>
      </c>
      <c r="C87" s="72"/>
      <c r="D87" s="36" t="s">
        <v>1276</v>
      </c>
      <c r="E87" s="5"/>
      <c r="F87" s="5"/>
      <c r="G87" s="5"/>
      <c r="H87" s="5"/>
      <c r="I87" s="5"/>
      <c r="J87" s="5"/>
      <c r="K87" s="5"/>
      <c r="L87" s="5"/>
    </row>
    <row r="88" spans="2:12" ht="156.6" thickBot="1">
      <c r="B88" s="2423"/>
      <c r="C88" s="2"/>
      <c r="D88" s="32" t="s">
        <v>1277</v>
      </c>
      <c r="E88" s="5"/>
      <c r="F88" s="5"/>
      <c r="G88" s="5"/>
      <c r="H88" s="5"/>
      <c r="I88" s="5"/>
      <c r="J88" s="5"/>
      <c r="K88" s="5"/>
      <c r="L88" s="5"/>
    </row>
    <row r="89" spans="2:12" ht="36">
      <c r="B89" s="2421" t="s">
        <v>860</v>
      </c>
      <c r="C89" s="72"/>
      <c r="D89" s="43" t="s">
        <v>20</v>
      </c>
      <c r="E89" s="5"/>
      <c r="F89" s="5"/>
      <c r="G89" s="5"/>
      <c r="H89" s="5"/>
      <c r="I89" s="5"/>
      <c r="J89" s="5"/>
      <c r="K89" s="5"/>
      <c r="L89" s="5"/>
    </row>
    <row r="90" spans="2:12">
      <c r="B90" s="2422"/>
      <c r="C90" s="72"/>
      <c r="D90" s="13"/>
      <c r="E90" s="5"/>
      <c r="F90" s="5"/>
      <c r="G90" s="5"/>
      <c r="H90" s="5"/>
      <c r="I90" s="5"/>
      <c r="J90" s="5"/>
      <c r="K90" s="5"/>
      <c r="L90" s="5"/>
    </row>
    <row r="91" spans="2:12">
      <c r="B91" s="2422"/>
      <c r="C91" s="72"/>
      <c r="D91" s="36" t="s">
        <v>861</v>
      </c>
      <c r="E91" s="5"/>
      <c r="F91" s="5"/>
      <c r="G91" s="5"/>
      <c r="H91" s="5"/>
      <c r="I91" s="5"/>
      <c r="J91" s="5"/>
      <c r="K91" s="5"/>
      <c r="L91" s="5"/>
    </row>
    <row r="92" spans="2:12" ht="38.4">
      <c r="B92" s="2422"/>
      <c r="C92" s="72"/>
      <c r="D92" s="36" t="s">
        <v>1278</v>
      </c>
      <c r="E92" s="5"/>
      <c r="F92" s="5"/>
      <c r="G92" s="5"/>
      <c r="H92" s="5"/>
      <c r="I92" s="5"/>
      <c r="J92" s="5"/>
      <c r="K92" s="5"/>
      <c r="L92" s="5"/>
    </row>
    <row r="93" spans="2:12" ht="38.4">
      <c r="B93" s="2422"/>
      <c r="C93" s="72"/>
      <c r="D93" s="36" t="s">
        <v>1279</v>
      </c>
      <c r="E93" s="5"/>
      <c r="F93" s="5"/>
      <c r="G93" s="5"/>
      <c r="H93" s="5"/>
      <c r="I93" s="5"/>
      <c r="J93" s="5"/>
      <c r="K93" s="5"/>
      <c r="L93" s="5"/>
    </row>
    <row r="94" spans="2:12" ht="39" thickBot="1">
      <c r="B94" s="2423"/>
      <c r="C94" s="2"/>
      <c r="D94" s="32" t="s">
        <v>1280</v>
      </c>
      <c r="E94" s="5"/>
      <c r="F94" s="5"/>
      <c r="G94" s="5"/>
      <c r="H94" s="5"/>
      <c r="I94" s="5"/>
      <c r="J94" s="5"/>
      <c r="K94" s="5"/>
      <c r="L94" s="5"/>
    </row>
    <row r="95" spans="2:12">
      <c r="B95" s="5"/>
      <c r="D95" s="5"/>
      <c r="E95" s="5"/>
      <c r="F95" s="5"/>
      <c r="G95" s="5"/>
      <c r="H95" s="5"/>
      <c r="I95" s="5"/>
      <c r="J95" s="5"/>
      <c r="K95" s="5"/>
      <c r="L95" s="5"/>
    </row>
    <row r="96" spans="2:12">
      <c r="B96" s="5"/>
      <c r="D96" s="5"/>
      <c r="E96" s="5"/>
      <c r="F96" s="5"/>
      <c r="G96" s="5"/>
      <c r="H96" s="5"/>
      <c r="I96" s="5"/>
      <c r="J96" s="5"/>
      <c r="K96" s="5"/>
      <c r="L96" s="5"/>
    </row>
    <row r="97" spans="2:12">
      <c r="B97" s="5"/>
      <c r="D97" s="5"/>
      <c r="E97" s="5"/>
      <c r="F97" s="5"/>
      <c r="G97" s="5"/>
      <c r="H97" s="5"/>
      <c r="I97" s="5"/>
      <c r="J97" s="5"/>
      <c r="K97" s="5"/>
      <c r="L97" s="5"/>
    </row>
    <row r="98" spans="2:12">
      <c r="B98" s="5"/>
      <c r="D98" s="5"/>
      <c r="E98" s="5"/>
      <c r="F98" s="5"/>
      <c r="G98" s="5"/>
      <c r="H98" s="5"/>
      <c r="I98" s="5"/>
      <c r="J98" s="5"/>
      <c r="K98" s="5"/>
      <c r="L98" s="5"/>
    </row>
    <row r="99" spans="2:12">
      <c r="B99" s="5"/>
      <c r="D99" s="5"/>
      <c r="E99" s="5"/>
      <c r="F99" s="5"/>
      <c r="G99" s="5"/>
      <c r="H99" s="5"/>
      <c r="I99" s="5"/>
      <c r="J99" s="5"/>
      <c r="K99" s="5"/>
      <c r="L99" s="5"/>
    </row>
    <row r="100" spans="2:12">
      <c r="B100" s="5"/>
      <c r="D100" s="5"/>
      <c r="E100" s="5"/>
      <c r="F100" s="5"/>
      <c r="G100" s="5"/>
      <c r="H100" s="5"/>
      <c r="I100" s="5"/>
      <c r="J100" s="5"/>
      <c r="K100" s="5"/>
      <c r="L100" s="5"/>
    </row>
    <row r="101" spans="2:12">
      <c r="B101" s="5"/>
      <c r="D101" s="5"/>
      <c r="E101" s="5"/>
      <c r="F101" s="5"/>
      <c r="G101" s="5"/>
      <c r="H101" s="5"/>
      <c r="I101" s="5"/>
      <c r="J101" s="5"/>
      <c r="K101" s="5"/>
      <c r="L101" s="5"/>
    </row>
    <row r="102" spans="2:12">
      <c r="B102" s="5"/>
      <c r="D102" s="5"/>
      <c r="E102" s="5"/>
      <c r="F102" s="5"/>
      <c r="G102" s="5"/>
      <c r="H102" s="5"/>
      <c r="I102" s="5"/>
      <c r="J102" s="5"/>
      <c r="K102" s="5"/>
      <c r="L102" s="5"/>
    </row>
    <row r="103" spans="2:12">
      <c r="B103" s="5"/>
      <c r="D103" s="5"/>
      <c r="E103" s="5"/>
      <c r="F103" s="5"/>
      <c r="G103" s="5"/>
      <c r="H103" s="5"/>
      <c r="I103" s="5"/>
      <c r="J103" s="5"/>
      <c r="K103" s="5"/>
      <c r="L103" s="5"/>
    </row>
    <row r="104" spans="2:12">
      <c r="B104" s="5"/>
      <c r="D104" s="5"/>
      <c r="E104" s="5"/>
      <c r="F104" s="5"/>
      <c r="G104" s="5"/>
      <c r="H104" s="5"/>
      <c r="I104" s="5"/>
      <c r="J104" s="5"/>
      <c r="K104" s="5"/>
      <c r="L104" s="5"/>
    </row>
    <row r="105" spans="2:12">
      <c r="B105" s="5"/>
      <c r="D105" s="5"/>
      <c r="E105" s="5"/>
      <c r="F105" s="5"/>
      <c r="G105" s="5"/>
      <c r="H105" s="5"/>
      <c r="I105" s="5"/>
      <c r="J105" s="5"/>
      <c r="K105" s="5"/>
      <c r="L105" s="5"/>
    </row>
    <row r="106" spans="2:12">
      <c r="B106" s="5"/>
      <c r="D106" s="5"/>
      <c r="E106" s="5"/>
      <c r="F106" s="5"/>
      <c r="G106" s="5"/>
      <c r="H106" s="5"/>
      <c r="I106" s="5"/>
      <c r="J106" s="5"/>
      <c r="K106" s="5"/>
      <c r="L106" s="5"/>
    </row>
    <row r="107" spans="2:12">
      <c r="B107" s="5"/>
      <c r="D107" s="5"/>
      <c r="E107" s="5"/>
      <c r="F107" s="5"/>
      <c r="G107" s="5"/>
      <c r="H107" s="5"/>
      <c r="I107" s="5"/>
      <c r="J107" s="5"/>
      <c r="K107" s="5"/>
      <c r="L107" s="5"/>
    </row>
    <row r="108" spans="2:12">
      <c r="B108" s="5"/>
      <c r="D108" s="5"/>
      <c r="E108" s="5"/>
      <c r="F108" s="5"/>
      <c r="G108" s="5"/>
      <c r="H108" s="5"/>
      <c r="I108" s="5"/>
      <c r="J108" s="5"/>
      <c r="K108" s="5"/>
      <c r="L108" s="5"/>
    </row>
    <row r="109" spans="2:12">
      <c r="B109" s="5"/>
      <c r="D109" s="5"/>
      <c r="E109" s="5"/>
      <c r="F109" s="5"/>
      <c r="G109" s="5"/>
      <c r="H109" s="5"/>
      <c r="I109" s="5"/>
      <c r="J109" s="5"/>
      <c r="K109" s="5"/>
      <c r="L109" s="5"/>
    </row>
    <row r="110" spans="2:12">
      <c r="B110" s="5"/>
      <c r="D110" s="5"/>
      <c r="E110" s="5"/>
      <c r="F110" s="5"/>
      <c r="G110" s="5"/>
      <c r="H110" s="5"/>
      <c r="I110" s="5"/>
      <c r="J110" s="5"/>
      <c r="K110" s="5"/>
      <c r="L110" s="5"/>
    </row>
    <row r="111" spans="2:12">
      <c r="B111" s="5"/>
      <c r="D111" s="5"/>
      <c r="E111" s="5"/>
      <c r="F111" s="5"/>
      <c r="G111" s="5"/>
      <c r="H111" s="5"/>
      <c r="I111" s="5"/>
      <c r="J111" s="5"/>
      <c r="K111" s="5"/>
      <c r="L111" s="5"/>
    </row>
    <row r="112" spans="2:12">
      <c r="B112" s="5"/>
      <c r="D112" s="5"/>
      <c r="E112" s="5"/>
      <c r="F112" s="5"/>
      <c r="G112" s="5"/>
      <c r="H112" s="5"/>
      <c r="I112" s="5"/>
      <c r="J112" s="5"/>
      <c r="K112" s="5"/>
      <c r="L112" s="5"/>
    </row>
    <row r="113" spans="2:12">
      <c r="B113" s="5"/>
      <c r="D113" s="5"/>
      <c r="E113" s="5"/>
      <c r="F113" s="5"/>
      <c r="G113" s="5"/>
      <c r="H113" s="5"/>
      <c r="I113" s="5"/>
      <c r="J113" s="5"/>
      <c r="K113" s="5"/>
      <c r="L113" s="5"/>
    </row>
    <row r="114" spans="2:12">
      <c r="B114" s="5"/>
      <c r="D114" s="5"/>
      <c r="E114" s="5"/>
      <c r="F114" s="5"/>
      <c r="G114" s="5"/>
      <c r="H114" s="5"/>
      <c r="I114" s="5"/>
      <c r="J114" s="5"/>
      <c r="K114" s="5"/>
      <c r="L114" s="5"/>
    </row>
    <row r="115" spans="2:12">
      <c r="B115" s="5"/>
      <c r="D115" s="5"/>
      <c r="E115" s="5"/>
      <c r="F115" s="5"/>
      <c r="G115" s="5"/>
      <c r="H115" s="5"/>
      <c r="I115" s="5"/>
      <c r="J115" s="5"/>
      <c r="K115" s="5"/>
      <c r="L115" s="5"/>
    </row>
    <row r="116" spans="2:12">
      <c r="B116" s="5"/>
      <c r="D116" s="5"/>
      <c r="E116" s="5"/>
      <c r="F116" s="5"/>
      <c r="G116" s="5"/>
      <c r="H116" s="5"/>
      <c r="I116" s="5"/>
      <c r="J116" s="5"/>
      <c r="K116" s="5"/>
      <c r="L116" s="5"/>
    </row>
    <row r="117" spans="2:12">
      <c r="B117" s="5"/>
      <c r="D117" s="5"/>
      <c r="E117" s="5"/>
      <c r="F117" s="5"/>
      <c r="G117" s="5"/>
      <c r="H117" s="5"/>
      <c r="I117" s="5"/>
      <c r="J117" s="5"/>
      <c r="K117" s="5"/>
      <c r="L117" s="5"/>
    </row>
    <row r="118" spans="2:12">
      <c r="B118" s="5"/>
      <c r="D118" s="5"/>
      <c r="E118" s="5"/>
      <c r="F118" s="5"/>
      <c r="G118" s="5"/>
      <c r="H118" s="5"/>
      <c r="I118" s="5"/>
      <c r="J118" s="5"/>
      <c r="K118" s="5"/>
      <c r="L118" s="5"/>
    </row>
    <row r="119" spans="2:12">
      <c r="B119" s="5"/>
      <c r="D119" s="5"/>
      <c r="E119" s="5"/>
      <c r="F119" s="5"/>
      <c r="G119" s="5"/>
      <c r="H119" s="5"/>
      <c r="I119" s="5"/>
      <c r="J119" s="5"/>
      <c r="K119" s="5"/>
      <c r="L119" s="5"/>
    </row>
    <row r="120" spans="2:12">
      <c r="B120" s="5"/>
      <c r="D120" s="5"/>
      <c r="E120" s="5"/>
      <c r="F120" s="5"/>
      <c r="G120" s="5"/>
      <c r="H120" s="5"/>
      <c r="I120" s="5"/>
      <c r="J120" s="5"/>
      <c r="K120" s="5"/>
      <c r="L120" s="5"/>
    </row>
    <row r="121" spans="2:12">
      <c r="B121" s="5"/>
      <c r="D121" s="5"/>
      <c r="E121" s="5"/>
      <c r="F121" s="5"/>
      <c r="G121" s="5"/>
      <c r="H121" s="5"/>
      <c r="I121" s="5"/>
      <c r="J121" s="5"/>
      <c r="K121" s="5"/>
      <c r="L121" s="5"/>
    </row>
    <row r="122" spans="2:12">
      <c r="B122" s="5"/>
      <c r="D122" s="5"/>
      <c r="E122" s="5"/>
      <c r="F122" s="5"/>
      <c r="G122" s="5"/>
      <c r="H122" s="5"/>
      <c r="I122" s="5"/>
      <c r="J122" s="5"/>
      <c r="K122" s="5"/>
      <c r="L122" s="5"/>
    </row>
    <row r="123" spans="2:12">
      <c r="B123" s="5"/>
      <c r="D123" s="5"/>
      <c r="E123" s="5"/>
      <c r="F123" s="5"/>
      <c r="G123" s="5"/>
      <c r="H123" s="5"/>
      <c r="I123" s="5"/>
      <c r="J123" s="5"/>
      <c r="K123" s="5"/>
      <c r="L123" s="5"/>
    </row>
    <row r="124" spans="2:12">
      <c r="B124" s="5"/>
      <c r="D124" s="5"/>
      <c r="E124" s="5"/>
      <c r="F124" s="5"/>
      <c r="G124" s="5"/>
      <c r="H124" s="5"/>
      <c r="I124" s="5"/>
      <c r="J124" s="5"/>
      <c r="K124" s="5"/>
      <c r="L124" s="5"/>
    </row>
    <row r="125" spans="2:12">
      <c r="B125" s="5"/>
      <c r="D125" s="5"/>
      <c r="E125" s="5"/>
      <c r="F125" s="5"/>
      <c r="G125" s="5"/>
      <c r="H125" s="5"/>
      <c r="I125" s="5"/>
      <c r="J125" s="5"/>
      <c r="K125" s="5"/>
      <c r="L125" s="5"/>
    </row>
    <row r="126" spans="2:12">
      <c r="B126" s="5"/>
      <c r="D126" s="5"/>
      <c r="E126" s="5"/>
      <c r="F126" s="5"/>
      <c r="G126" s="5"/>
      <c r="H126" s="5"/>
      <c r="I126" s="5"/>
      <c r="J126" s="5"/>
      <c r="K126" s="5"/>
      <c r="L126" s="5"/>
    </row>
    <row r="127" spans="2:12">
      <c r="B127" s="5"/>
      <c r="D127" s="5"/>
      <c r="E127" s="5"/>
      <c r="F127" s="5"/>
      <c r="G127" s="5"/>
      <c r="H127" s="5"/>
      <c r="I127" s="5"/>
      <c r="J127" s="5"/>
      <c r="K127" s="5"/>
      <c r="L127" s="5"/>
    </row>
    <row r="128" spans="2:12">
      <c r="B128" s="5"/>
      <c r="D128" s="5"/>
      <c r="E128" s="5"/>
      <c r="F128" s="5"/>
      <c r="G128" s="5"/>
      <c r="H128" s="5"/>
      <c r="I128" s="5"/>
      <c r="J128" s="5"/>
      <c r="K128" s="5"/>
      <c r="L128" s="5"/>
    </row>
    <row r="129" spans="2:12">
      <c r="B129" s="5"/>
      <c r="D129" s="5"/>
      <c r="E129" s="5"/>
      <c r="F129" s="5"/>
      <c r="G129" s="5"/>
      <c r="H129" s="5"/>
      <c r="I129" s="5"/>
      <c r="J129" s="5"/>
      <c r="K129" s="5"/>
      <c r="L129" s="5"/>
    </row>
    <row r="130" spans="2:12">
      <c r="B130" s="5"/>
      <c r="D130" s="5"/>
      <c r="E130" s="5"/>
      <c r="F130" s="5"/>
      <c r="G130" s="5"/>
      <c r="H130" s="5"/>
      <c r="I130" s="5"/>
      <c r="J130" s="5"/>
      <c r="K130" s="5"/>
      <c r="L130" s="5"/>
    </row>
    <row r="131" spans="2:12">
      <c r="B131" s="5"/>
      <c r="D131" s="5"/>
      <c r="E131" s="5"/>
      <c r="F131" s="5"/>
      <c r="G131" s="5"/>
      <c r="H131" s="5"/>
      <c r="I131" s="5"/>
      <c r="J131" s="5"/>
      <c r="K131" s="5"/>
      <c r="L131" s="5"/>
    </row>
    <row r="132" spans="2:12">
      <c r="B132" s="5"/>
      <c r="D132" s="5"/>
      <c r="E132" s="5"/>
      <c r="F132" s="5"/>
      <c r="G132" s="5"/>
      <c r="H132" s="5"/>
      <c r="I132" s="5"/>
      <c r="J132" s="5"/>
      <c r="K132" s="5"/>
      <c r="L132" s="5"/>
    </row>
    <row r="133" spans="2:12">
      <c r="B133" s="5"/>
      <c r="D133" s="5"/>
      <c r="E133" s="5"/>
      <c r="F133" s="5"/>
      <c r="G133" s="5"/>
      <c r="H133" s="5"/>
      <c r="I133" s="5"/>
      <c r="J133" s="5"/>
      <c r="K133" s="5"/>
      <c r="L133" s="5"/>
    </row>
    <row r="134" spans="2:12">
      <c r="B134" s="5"/>
      <c r="D134" s="5"/>
      <c r="E134" s="5"/>
      <c r="F134" s="5"/>
      <c r="G134" s="5"/>
      <c r="H134" s="5"/>
      <c r="I134" s="5"/>
      <c r="J134" s="5"/>
      <c r="K134" s="5"/>
      <c r="L134" s="5"/>
    </row>
    <row r="135" spans="2:12">
      <c r="B135" s="5"/>
      <c r="D135" s="5"/>
      <c r="E135" s="5"/>
      <c r="F135" s="5"/>
      <c r="G135" s="5"/>
      <c r="H135" s="5"/>
      <c r="I135" s="5"/>
      <c r="J135" s="5"/>
      <c r="K135" s="5"/>
      <c r="L135" s="5"/>
    </row>
    <row r="136" spans="2:12">
      <c r="B136" s="5"/>
      <c r="D136" s="5"/>
      <c r="E136" s="5"/>
      <c r="F136" s="5"/>
      <c r="G136" s="5"/>
      <c r="H136" s="5"/>
      <c r="I136" s="5"/>
      <c r="J136" s="5"/>
      <c r="K136" s="5"/>
      <c r="L136" s="5"/>
    </row>
    <row r="137" spans="2:12">
      <c r="B137" s="5"/>
      <c r="D137" s="5"/>
      <c r="E137" s="5"/>
      <c r="F137" s="5"/>
      <c r="G137" s="5"/>
      <c r="H137" s="5"/>
      <c r="I137" s="5"/>
      <c r="J137" s="5"/>
      <c r="K137" s="5"/>
      <c r="L137" s="5"/>
    </row>
    <row r="138" spans="2:12">
      <c r="B138" s="5"/>
      <c r="D138" s="5"/>
      <c r="E138" s="5"/>
      <c r="F138" s="5"/>
      <c r="G138" s="5"/>
      <c r="H138" s="5"/>
      <c r="I138" s="5"/>
      <c r="J138" s="5"/>
      <c r="K138" s="5"/>
      <c r="L138" s="5"/>
    </row>
    <row r="139" spans="2:12">
      <c r="B139" s="5"/>
      <c r="D139" s="5"/>
      <c r="E139" s="5"/>
      <c r="F139" s="5"/>
      <c r="G139" s="5"/>
      <c r="H139" s="5"/>
      <c r="I139" s="5"/>
      <c r="J139" s="5"/>
      <c r="K139" s="5"/>
      <c r="L139" s="5"/>
    </row>
    <row r="140" spans="2:12">
      <c r="B140" s="5"/>
      <c r="D140" s="5"/>
      <c r="E140" s="5"/>
      <c r="F140" s="5"/>
      <c r="G140" s="5"/>
      <c r="H140" s="5"/>
      <c r="I140" s="5"/>
      <c r="J140" s="5"/>
      <c r="K140" s="5"/>
      <c r="L140" s="5"/>
    </row>
    <row r="141" spans="2:12">
      <c r="B141" s="5"/>
      <c r="D141" s="5"/>
      <c r="E141" s="5"/>
      <c r="F141" s="5"/>
      <c r="G141" s="5"/>
      <c r="H141" s="5"/>
      <c r="I141" s="5"/>
      <c r="J141" s="5"/>
      <c r="K141" s="5"/>
      <c r="L141" s="5"/>
    </row>
    <row r="142" spans="2:12">
      <c r="B142" s="5"/>
      <c r="D142" s="5"/>
      <c r="E142" s="5"/>
      <c r="F142" s="5"/>
      <c r="G142" s="5"/>
      <c r="H142" s="5"/>
      <c r="I142" s="5"/>
      <c r="J142" s="5"/>
      <c r="K142" s="5"/>
      <c r="L142" s="5"/>
    </row>
    <row r="143" spans="2:12">
      <c r="B143" s="5"/>
      <c r="D143" s="5"/>
      <c r="E143" s="5"/>
      <c r="F143" s="5"/>
      <c r="G143" s="5"/>
      <c r="H143" s="5"/>
      <c r="I143" s="5"/>
      <c r="J143" s="5"/>
      <c r="K143" s="5"/>
      <c r="L143" s="5"/>
    </row>
    <row r="144" spans="2:12">
      <c r="B144" s="5"/>
      <c r="D144" s="5"/>
      <c r="E144" s="5"/>
      <c r="F144" s="5"/>
      <c r="G144" s="5"/>
      <c r="H144" s="5"/>
      <c r="I144" s="5"/>
      <c r="J144" s="5"/>
      <c r="K144" s="5"/>
      <c r="L144" s="5"/>
    </row>
    <row r="145" spans="2:12">
      <c r="B145" s="5"/>
      <c r="D145" s="5"/>
      <c r="E145" s="5"/>
      <c r="F145" s="5"/>
      <c r="G145" s="5"/>
      <c r="H145" s="5"/>
      <c r="I145" s="5"/>
      <c r="J145" s="5"/>
      <c r="K145" s="5"/>
      <c r="L145" s="5"/>
    </row>
    <row r="146" spans="2:12">
      <c r="B146" s="5"/>
      <c r="D146" s="5"/>
      <c r="E146" s="5"/>
      <c r="F146" s="5"/>
      <c r="G146" s="5"/>
      <c r="H146" s="5"/>
      <c r="I146" s="5"/>
      <c r="J146" s="5"/>
      <c r="K146" s="5"/>
      <c r="L146" s="5"/>
    </row>
    <row r="147" spans="2:12">
      <c r="B147" s="5"/>
      <c r="D147" s="5"/>
      <c r="E147" s="5"/>
      <c r="F147" s="5"/>
      <c r="G147" s="5"/>
      <c r="H147" s="5"/>
      <c r="I147" s="5"/>
      <c r="J147" s="5"/>
      <c r="K147" s="5"/>
      <c r="L147" s="5"/>
    </row>
    <row r="148" spans="2:12">
      <c r="B148" s="5"/>
      <c r="D148" s="5"/>
      <c r="E148" s="5"/>
      <c r="F148" s="5"/>
      <c r="G148" s="5"/>
      <c r="H148" s="5"/>
      <c r="I148" s="5"/>
      <c r="J148" s="5"/>
      <c r="K148" s="5"/>
      <c r="L148" s="5"/>
    </row>
    <row r="149" spans="2:12">
      <c r="B149" s="5"/>
      <c r="D149" s="5"/>
      <c r="E149" s="5"/>
      <c r="F149" s="5"/>
      <c r="G149" s="5"/>
      <c r="H149" s="5"/>
      <c r="I149" s="5"/>
      <c r="J149" s="5"/>
      <c r="K149" s="5"/>
      <c r="L149" s="5"/>
    </row>
    <row r="150" spans="2:12">
      <c r="B150" s="5"/>
      <c r="D150" s="5"/>
      <c r="E150" s="5"/>
      <c r="F150" s="5"/>
      <c r="G150" s="5"/>
      <c r="H150" s="5"/>
      <c r="I150" s="5"/>
      <c r="J150" s="5"/>
      <c r="K150" s="5"/>
      <c r="L150" s="5"/>
    </row>
    <row r="151" spans="2:12">
      <c r="B151" s="5"/>
      <c r="D151" s="5"/>
      <c r="E151" s="5"/>
      <c r="F151" s="5"/>
      <c r="G151" s="5"/>
      <c r="H151" s="5"/>
      <c r="I151" s="5"/>
      <c r="J151" s="5"/>
      <c r="K151" s="5"/>
      <c r="L151" s="5"/>
    </row>
    <row r="152" spans="2:12">
      <c r="B152" s="5"/>
      <c r="D152" s="5"/>
      <c r="E152" s="5"/>
      <c r="F152" s="5"/>
      <c r="G152" s="5"/>
      <c r="H152" s="5"/>
      <c r="I152" s="5"/>
      <c r="J152" s="5"/>
      <c r="K152" s="5"/>
      <c r="L152" s="5"/>
    </row>
    <row r="153" spans="2:12">
      <c r="B153" s="5"/>
      <c r="D153" s="5"/>
      <c r="E153" s="5"/>
      <c r="F153" s="5"/>
      <c r="G153" s="5"/>
      <c r="H153" s="5"/>
      <c r="I153" s="5"/>
      <c r="J153" s="5"/>
      <c r="K153" s="5"/>
      <c r="L153" s="5"/>
    </row>
    <row r="154" spans="2:12">
      <c r="B154" s="5"/>
      <c r="D154" s="5"/>
      <c r="E154" s="5"/>
      <c r="F154" s="5"/>
      <c r="G154" s="5"/>
      <c r="H154" s="5"/>
      <c r="I154" s="5"/>
      <c r="J154" s="5"/>
      <c r="K154" s="5"/>
      <c r="L154" s="5"/>
    </row>
    <row r="155" spans="2:12">
      <c r="B155" s="5"/>
      <c r="D155" s="5"/>
      <c r="E155" s="5"/>
      <c r="F155" s="5"/>
      <c r="G155" s="5"/>
      <c r="H155" s="5"/>
      <c r="I155" s="5"/>
      <c r="J155" s="5"/>
      <c r="K155" s="5"/>
      <c r="L155" s="5"/>
    </row>
    <row r="156" spans="2:12">
      <c r="B156" s="5"/>
      <c r="D156" s="5"/>
      <c r="E156" s="5"/>
      <c r="F156" s="5"/>
      <c r="G156" s="5"/>
      <c r="H156" s="5"/>
      <c r="I156" s="5"/>
      <c r="J156" s="5"/>
      <c r="K156" s="5"/>
      <c r="L156" s="5"/>
    </row>
    <row r="157" spans="2:12">
      <c r="B157" s="5"/>
      <c r="D157" s="5"/>
      <c r="E157" s="5"/>
      <c r="F157" s="5"/>
      <c r="G157" s="5"/>
      <c r="H157" s="5"/>
      <c r="I157" s="5"/>
      <c r="J157" s="5"/>
      <c r="K157" s="5"/>
      <c r="L157" s="5"/>
    </row>
    <row r="158" spans="2:12">
      <c r="B158" s="5"/>
      <c r="D158" s="5"/>
      <c r="E158" s="5"/>
      <c r="F158" s="5"/>
      <c r="G158" s="5"/>
      <c r="H158" s="5"/>
      <c r="I158" s="5"/>
      <c r="J158" s="5"/>
      <c r="K158" s="5"/>
      <c r="L158" s="5"/>
    </row>
    <row r="159" spans="2:12">
      <c r="B159" s="5"/>
      <c r="D159" s="5"/>
      <c r="E159" s="5"/>
      <c r="F159" s="5"/>
      <c r="G159" s="5"/>
      <c r="H159" s="5"/>
      <c r="I159" s="5"/>
      <c r="J159" s="5"/>
      <c r="K159" s="5"/>
      <c r="L159" s="5"/>
    </row>
    <row r="160" spans="2:12">
      <c r="B160" s="5"/>
      <c r="D160" s="5"/>
      <c r="E160" s="5"/>
      <c r="F160" s="5"/>
      <c r="G160" s="5"/>
      <c r="H160" s="5"/>
      <c r="I160" s="5"/>
      <c r="J160" s="5"/>
      <c r="K160" s="5"/>
      <c r="L160" s="5"/>
    </row>
    <row r="161" spans="2:12">
      <c r="B161" s="5"/>
      <c r="D161" s="5"/>
      <c r="E161" s="5"/>
      <c r="F161" s="5"/>
      <c r="G161" s="5"/>
      <c r="H161" s="5"/>
      <c r="I161" s="5"/>
      <c r="J161" s="5"/>
      <c r="K161" s="5"/>
      <c r="L161" s="5"/>
    </row>
    <row r="162" spans="2:12">
      <c r="B162" s="5"/>
      <c r="D162" s="5"/>
      <c r="E162" s="5"/>
      <c r="F162" s="5"/>
      <c r="G162" s="5"/>
      <c r="H162" s="5"/>
      <c r="I162" s="5"/>
      <c r="J162" s="5"/>
      <c r="K162" s="5"/>
      <c r="L162" s="5"/>
    </row>
    <row r="163" spans="2:12">
      <c r="B163" s="5"/>
      <c r="D163" s="5"/>
      <c r="E163" s="5"/>
      <c r="F163" s="5"/>
      <c r="G163" s="5"/>
      <c r="H163" s="5"/>
      <c r="I163" s="5"/>
      <c r="J163" s="5"/>
      <c r="K163" s="5"/>
      <c r="L163" s="5"/>
    </row>
    <row r="164" spans="2:12">
      <c r="B164" s="5"/>
      <c r="D164" s="5"/>
      <c r="E164" s="5"/>
      <c r="F164" s="5"/>
      <c r="G164" s="5"/>
      <c r="H164" s="5"/>
      <c r="I164" s="5"/>
      <c r="J164" s="5"/>
      <c r="K164" s="5"/>
      <c r="L164" s="5"/>
    </row>
    <row r="165" spans="2:12">
      <c r="B165" s="5"/>
      <c r="D165" s="5"/>
      <c r="E165" s="5"/>
      <c r="F165" s="5"/>
      <c r="G165" s="5"/>
      <c r="H165" s="5"/>
      <c r="I165" s="5"/>
      <c r="J165" s="5"/>
      <c r="K165" s="5"/>
      <c r="L165" s="5"/>
    </row>
    <row r="166" spans="2:12">
      <c r="B166" s="5"/>
      <c r="D166" s="5"/>
      <c r="E166" s="5"/>
      <c r="F166" s="5"/>
      <c r="G166" s="5"/>
      <c r="H166" s="5"/>
      <c r="I166" s="5"/>
      <c r="J166" s="5"/>
      <c r="K166" s="5"/>
      <c r="L166" s="5"/>
    </row>
    <row r="167" spans="2:12">
      <c r="B167" s="5"/>
      <c r="D167" s="5"/>
      <c r="E167" s="5"/>
      <c r="F167" s="5"/>
      <c r="G167" s="5"/>
      <c r="H167" s="5"/>
      <c r="I167" s="5"/>
      <c r="J167" s="5"/>
      <c r="K167" s="5"/>
      <c r="L167" s="5"/>
    </row>
    <row r="168" spans="2:12">
      <c r="B168" s="5"/>
      <c r="D168" s="5"/>
      <c r="E168" s="5"/>
      <c r="F168" s="5"/>
      <c r="G168" s="5"/>
      <c r="H168" s="5"/>
      <c r="I168" s="5"/>
      <c r="J168" s="5"/>
      <c r="K168" s="5"/>
      <c r="L168" s="5"/>
    </row>
    <row r="169" spans="2:12">
      <c r="B169" s="5"/>
      <c r="D169" s="5"/>
      <c r="E169" s="5"/>
      <c r="F169" s="5"/>
      <c r="G169" s="5"/>
      <c r="H169" s="5"/>
      <c r="I169" s="5"/>
      <c r="J169" s="5"/>
      <c r="K169" s="5"/>
      <c r="L169" s="5"/>
    </row>
    <row r="170" spans="2:12">
      <c r="B170" s="5"/>
      <c r="D170" s="5"/>
      <c r="E170" s="5"/>
      <c r="F170" s="5"/>
      <c r="G170" s="5"/>
      <c r="H170" s="5"/>
      <c r="I170" s="5"/>
      <c r="J170" s="5"/>
      <c r="K170" s="5"/>
      <c r="L170" s="5"/>
    </row>
    <row r="171" spans="2:12">
      <c r="B171" s="5"/>
      <c r="D171" s="5"/>
      <c r="E171" s="5"/>
      <c r="F171" s="5"/>
      <c r="G171" s="5"/>
      <c r="H171" s="5"/>
      <c r="I171" s="5"/>
      <c r="J171" s="5"/>
      <c r="K171" s="5"/>
      <c r="L171" s="5"/>
    </row>
    <row r="172" spans="2:12">
      <c r="B172" s="5"/>
      <c r="D172" s="5"/>
      <c r="E172" s="5"/>
      <c r="F172" s="5"/>
      <c r="G172" s="5"/>
      <c r="H172" s="5"/>
      <c r="I172" s="5"/>
      <c r="J172" s="5"/>
      <c r="K172" s="5"/>
      <c r="L172" s="5"/>
    </row>
    <row r="173" spans="2:12">
      <c r="B173" s="5"/>
      <c r="D173" s="5"/>
      <c r="E173" s="5"/>
      <c r="F173" s="5"/>
      <c r="G173" s="5"/>
      <c r="H173" s="5"/>
      <c r="I173" s="5"/>
      <c r="J173" s="5"/>
      <c r="K173" s="5"/>
      <c r="L173" s="5"/>
    </row>
    <row r="174" spans="2:12">
      <c r="B174" s="5"/>
      <c r="D174" s="5"/>
      <c r="E174" s="5"/>
      <c r="F174" s="5"/>
      <c r="G174" s="5"/>
      <c r="H174" s="5"/>
      <c r="I174" s="5"/>
      <c r="J174" s="5"/>
      <c r="K174" s="5"/>
      <c r="L174" s="5"/>
    </row>
    <row r="175" spans="2:12">
      <c r="B175" s="5"/>
      <c r="D175" s="5"/>
      <c r="E175" s="5"/>
      <c r="F175" s="5"/>
      <c r="G175" s="5"/>
      <c r="H175" s="5"/>
      <c r="I175" s="5"/>
      <c r="J175" s="5"/>
      <c r="K175" s="5"/>
      <c r="L175" s="5"/>
    </row>
    <row r="176" spans="2:12">
      <c r="B176" s="5"/>
      <c r="D176" s="5"/>
      <c r="E176" s="5"/>
      <c r="F176" s="5"/>
      <c r="G176" s="5"/>
      <c r="H176" s="5"/>
      <c r="I176" s="5"/>
      <c r="J176" s="5"/>
      <c r="K176" s="5"/>
      <c r="L176" s="5"/>
    </row>
    <row r="177" spans="2:12">
      <c r="B177" s="5"/>
      <c r="D177" s="5"/>
      <c r="E177" s="5"/>
      <c r="F177" s="5"/>
      <c r="G177" s="5"/>
      <c r="H177" s="5"/>
      <c r="I177" s="5"/>
      <c r="J177" s="5"/>
      <c r="K177" s="5"/>
      <c r="L177" s="5"/>
    </row>
    <row r="178" spans="2:12">
      <c r="B178" s="5"/>
      <c r="D178" s="5"/>
      <c r="E178" s="5"/>
      <c r="F178" s="5"/>
      <c r="G178" s="5"/>
      <c r="H178" s="5"/>
      <c r="I178" s="5"/>
      <c r="J178" s="5"/>
      <c r="K178" s="5"/>
      <c r="L178" s="5"/>
    </row>
    <row r="179" spans="2:12">
      <c r="B179" s="5"/>
      <c r="D179" s="5"/>
      <c r="E179" s="5"/>
      <c r="F179" s="5"/>
      <c r="G179" s="5"/>
      <c r="H179" s="5"/>
      <c r="I179" s="5"/>
      <c r="J179" s="5"/>
      <c r="K179" s="5"/>
      <c r="L179" s="5"/>
    </row>
    <row r="180" spans="2:12">
      <c r="B180" s="5"/>
      <c r="D180" s="5"/>
      <c r="E180" s="5"/>
      <c r="F180" s="5"/>
      <c r="G180" s="5"/>
      <c r="H180" s="5"/>
      <c r="I180" s="5"/>
      <c r="J180" s="5"/>
      <c r="K180" s="5"/>
      <c r="L180" s="5"/>
    </row>
    <row r="181" spans="2:12">
      <c r="B181" s="5"/>
      <c r="D181" s="5"/>
      <c r="E181" s="5"/>
      <c r="F181" s="5"/>
      <c r="G181" s="5"/>
      <c r="H181" s="5"/>
      <c r="I181" s="5"/>
      <c r="J181" s="5"/>
      <c r="K181" s="5"/>
      <c r="L181" s="5"/>
    </row>
    <row r="182" spans="2:12">
      <c r="B182" s="5"/>
      <c r="D182" s="5"/>
      <c r="E182" s="5"/>
      <c r="F182" s="5"/>
      <c r="G182" s="5"/>
      <c r="H182" s="5"/>
      <c r="I182" s="5"/>
      <c r="J182" s="5"/>
      <c r="K182" s="5"/>
      <c r="L182" s="5"/>
    </row>
    <row r="183" spans="2:12">
      <c r="B183" s="5"/>
      <c r="D183" s="5"/>
      <c r="E183" s="5"/>
      <c r="F183" s="5"/>
      <c r="G183" s="5"/>
      <c r="H183" s="5"/>
      <c r="I183" s="5"/>
      <c r="J183" s="5"/>
      <c r="K183" s="5"/>
      <c r="L183" s="5"/>
    </row>
    <row r="184" spans="2:12">
      <c r="K184" s="5"/>
      <c r="L184" s="5"/>
    </row>
  </sheetData>
  <mergeCells count="41">
    <mergeCell ref="B10:D10"/>
    <mergeCell ref="F10:S10"/>
    <mergeCell ref="F11:S11"/>
    <mergeCell ref="E12:R12"/>
    <mergeCell ref="E13:R13"/>
    <mergeCell ref="N24:N25"/>
    <mergeCell ref="O24:O25"/>
    <mergeCell ref="P24:P25"/>
    <mergeCell ref="K24:K25"/>
    <mergeCell ref="K39:K40"/>
    <mergeCell ref="L39:L40"/>
    <mergeCell ref="M39:M40"/>
    <mergeCell ref="L24:L25"/>
    <mergeCell ref="M24:M25"/>
    <mergeCell ref="B89:B94"/>
    <mergeCell ref="B74:D74"/>
    <mergeCell ref="B76:B84"/>
    <mergeCell ref="B85:B86"/>
    <mergeCell ref="D85:D86"/>
    <mergeCell ref="B87:B88"/>
    <mergeCell ref="B15:B43"/>
    <mergeCell ref="D15:I15"/>
    <mergeCell ref="D22:I22"/>
    <mergeCell ref="D23:I23"/>
    <mergeCell ref="D31:I31"/>
    <mergeCell ref="D32:I32"/>
    <mergeCell ref="D33:I33"/>
    <mergeCell ref="D43:I43"/>
    <mergeCell ref="B69:F69"/>
    <mergeCell ref="D44:I44"/>
    <mergeCell ref="D45:I45"/>
    <mergeCell ref="B47:E47"/>
    <mergeCell ref="B48:B54"/>
    <mergeCell ref="B56:E56"/>
    <mergeCell ref="B57:B63"/>
    <mergeCell ref="B66:D67"/>
    <mergeCell ref="A1:P1"/>
    <mergeCell ref="A2:P2"/>
    <mergeCell ref="A3:P3"/>
    <mergeCell ref="A4:D4"/>
    <mergeCell ref="A5:P5"/>
  </mergeCells>
  <conditionalFormatting sqref="E12:R12">
    <cfRule type="expression" dxfId="85" priority="3">
      <formula>E11="SI SE REPORTA"</formula>
    </cfRule>
  </conditionalFormatting>
  <conditionalFormatting sqref="F10">
    <cfRule type="notContainsBlanks" dxfId="84" priority="6">
      <formula>LEN(TRIM(F10))&gt;0</formula>
    </cfRule>
  </conditionalFormatting>
  <conditionalFormatting sqref="F11:S11">
    <cfRule type="expression" dxfId="83" priority="1">
      <formula>E11="NO SE REPORTA"</formula>
    </cfRule>
    <cfRule type="expression" dxfId="82" priority="2">
      <formula>E10="NO APLICA"</formula>
    </cfRule>
  </conditionalFormatting>
  <conditionalFormatting sqref="I20">
    <cfRule type="containsErrors" dxfId="81" priority="8">
      <formula>ISERROR(I20)</formula>
    </cfRule>
  </conditionalFormatting>
  <conditionalFormatting sqref="I25">
    <cfRule type="containsText" dxfId="80" priority="7" operator="containsText" text="debe">
      <formula>NOT(ISERROR(SEARCH("debe",I25)))</formula>
    </cfRule>
  </conditionalFormatting>
  <dataValidations count="6">
    <dataValidation type="whole" operator="greaterThanOrEqual" allowBlank="1" showInputMessage="1" showErrorMessage="1" errorTitle="ERROR" error="Valor en HECTAREAS (sin decimales)" sqref="L41:L45 E21 E25:H29 F35:F42 I26:I30 E17:E19" xr:uid="{00000000-0002-0000-0F00-000000000000}">
      <formula1>0</formula1>
    </dataValidation>
    <dataValidation allowBlank="1" showInputMessage="1" showErrorMessage="1" promptTitle="ESTADO" prompt="en formulación_x000a_en actualización_x000a_en adopción_x000a_adoptado" sqref="G35:G42" xr:uid="{00000000-0002-0000-0F00-000001000000}"/>
    <dataValidation type="whole" errorStyle="warning" operator="equal" allowBlank="1" showInputMessage="1" showErrorMessage="1" error="LA SUMA DEBE SER IGUAL A LA META CUATRIENAL" promptTitle="OJO" prompt="LA SUMA DEBE SER IGUAL A LA META CUATRIENAL" sqref="I25" xr:uid="{00000000-0002-0000-0F00-000002000000}">
      <formula1>E20</formula1>
    </dataValidation>
    <dataValidation type="decimal" allowBlank="1" showInputMessage="1" showErrorMessage="1" errorTitle="ERROR" error="Escriba un valor entre 0% y 100%" sqref="L26:L29" xr:uid="{00000000-0002-0000-0F00-000003000000}">
      <formula1>0</formula1>
      <formula2>1</formula2>
    </dataValidation>
    <dataValidation type="list" allowBlank="1" showInputMessage="1" showErrorMessage="1" sqref="E11" xr:uid="{00000000-0002-0000-0F00-000004000000}">
      <formula1>REPORTE</formula1>
    </dataValidation>
    <dataValidation type="list" allowBlank="1" showInputMessage="1" showErrorMessage="1" sqref="E10" xr:uid="{00000000-0002-0000-0F00-000005000000}">
      <formula1>SI</formula1>
    </dataValidation>
  </dataValidations>
  <hyperlinks>
    <hyperlink ref="B9" location="'ANEXO 3'!A1" display="VOLVER AL INDICE" xr:uid="{00000000-0004-0000-0F00-000000000000}"/>
    <hyperlink ref="E52" r:id="rId1" xr:uid="{00000000-0004-0000-0F00-000001000000}"/>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dimension ref="A1:U179"/>
  <sheetViews>
    <sheetView topLeftCell="A37" zoomScale="77" zoomScaleNormal="77" workbookViewId="0">
      <selection activeCell="L28" sqref="L28"/>
    </sheetView>
  </sheetViews>
  <sheetFormatPr baseColWidth="10" defaultColWidth="11.44140625" defaultRowHeight="14.4"/>
  <cols>
    <col min="1" max="1" width="1.88671875" customWidth="1"/>
    <col min="2" max="2" width="12.88671875" customWidth="1"/>
    <col min="3" max="3" width="10" style="65" customWidth="1"/>
    <col min="4" max="4" width="44" customWidth="1"/>
    <col min="5" max="5" width="40.109375" customWidth="1"/>
    <col min="6" max="6" width="15.88671875" customWidth="1"/>
    <col min="7" max="7" width="11" customWidth="1"/>
    <col min="8" max="8" width="15.88671875" bestFit="1" customWidth="1"/>
    <col min="9" max="9" width="17.33203125" customWidth="1"/>
    <col min="10" max="10" width="16.5546875" customWidth="1"/>
    <col min="11" max="11" width="13" bestFit="1" customWidth="1"/>
    <col min="12" max="12" width="59.777343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21</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0" t="s">
        <v>739</v>
      </c>
      <c r="C8" s="769">
        <v>2025</v>
      </c>
      <c r="D8" s="164">
        <f>IF(E10="NO APLICA","NO APLICA",IF(E11="NO SE REPORTA","SIN INFORMACION",+G20))</f>
        <v>1</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72.599999999999994" customHeight="1">
      <c r="B12" s="290"/>
      <c r="C12" s="66"/>
      <c r="D12" s="141" t="str">
        <f>IF(E11="SI SE REPORTA","¿Qué programas o proyectos del Plan de Acción están asociados al indicador? ","")</f>
        <v xml:space="preserve">¿Qué programas o proyectos del Plan de Acción están asociados al indicador? </v>
      </c>
      <c r="E12" s="2500" t="s">
        <v>2130</v>
      </c>
      <c r="F12" s="2500"/>
      <c r="G12" s="2500"/>
      <c r="H12" s="2500"/>
      <c r="I12" s="2500"/>
      <c r="J12" s="2500"/>
      <c r="K12" s="2500"/>
      <c r="L12" s="2500"/>
      <c r="M12" s="2500"/>
      <c r="N12" s="2500"/>
      <c r="O12" s="2500"/>
      <c r="P12" s="2500"/>
      <c r="Q12" s="2500"/>
      <c r="R12" s="2500"/>
    </row>
    <row r="13" spans="1:21" ht="21.9" customHeight="1">
      <c r="B13" s="290"/>
      <c r="C13" s="66"/>
      <c r="D13" s="141" t="s">
        <v>746</v>
      </c>
      <c r="E13" s="2501"/>
      <c r="F13" s="2502"/>
      <c r="G13" s="2502"/>
      <c r="H13" s="2502"/>
      <c r="I13" s="2502"/>
      <c r="J13" s="2502"/>
      <c r="K13" s="2502"/>
      <c r="L13" s="2502"/>
      <c r="M13" s="2502"/>
      <c r="N13" s="2502"/>
      <c r="O13" s="2502"/>
      <c r="P13" s="2502"/>
      <c r="Q13" s="2502"/>
      <c r="R13" s="2503"/>
    </row>
    <row r="14" spans="1:21" ht="6.9" customHeight="1" thickBot="1">
      <c r="B14" s="290"/>
      <c r="D14" s="5"/>
      <c r="E14" s="5"/>
      <c r="F14" s="5"/>
      <c r="G14" s="5"/>
      <c r="H14" s="5"/>
      <c r="I14" s="5"/>
      <c r="J14" s="5"/>
      <c r="K14" s="5"/>
    </row>
    <row r="15" spans="1:21" ht="15.6" customHeight="1" thickTop="1" thickBot="1">
      <c r="B15" s="2603" t="s">
        <v>747</v>
      </c>
      <c r="C15" s="67"/>
      <c r="D15" s="2412" t="s">
        <v>1103</v>
      </c>
      <c r="E15" s="2413"/>
      <c r="F15" s="2413"/>
      <c r="G15" s="2413"/>
      <c r="H15" s="2413"/>
      <c r="I15" s="2413"/>
      <c r="J15" s="2413"/>
      <c r="K15" s="2413"/>
      <c r="L15" s="2615"/>
    </row>
    <row r="16" spans="1:21" ht="24.6" thickBot="1">
      <c r="B16" s="2604"/>
      <c r="C16" s="72"/>
      <c r="D16" s="34" t="s">
        <v>1281</v>
      </c>
      <c r="E16" s="430" t="s">
        <v>1282</v>
      </c>
      <c r="F16" s="34" t="s">
        <v>1283</v>
      </c>
      <c r="G16" s="430" t="s">
        <v>1284</v>
      </c>
      <c r="H16" s="5"/>
      <c r="I16" s="5"/>
      <c r="J16" s="5"/>
      <c r="K16" s="5"/>
      <c r="L16" s="10"/>
    </row>
    <row r="17" spans="2:12" ht="24.6" thickBot="1">
      <c r="B17" s="2604"/>
      <c r="C17" s="72"/>
      <c r="D17" s="32" t="s">
        <v>1285</v>
      </c>
      <c r="E17" s="429">
        <v>6</v>
      </c>
      <c r="F17" s="429">
        <v>0</v>
      </c>
      <c r="G17" s="501">
        <f>+E17+F17</f>
        <v>6</v>
      </c>
      <c r="H17" s="5"/>
      <c r="I17" s="5"/>
      <c r="J17" s="5"/>
      <c r="K17" s="5"/>
      <c r="L17" s="10"/>
    </row>
    <row r="18" spans="2:12" ht="31.5" customHeight="1" thickBot="1">
      <c r="B18" s="2604"/>
      <c r="C18" s="72"/>
      <c r="D18" s="32" t="s">
        <v>1286</v>
      </c>
      <c r="E18" s="429">
        <v>5</v>
      </c>
      <c r="F18" s="429">
        <v>0</v>
      </c>
      <c r="G18" s="501">
        <f>+E18+F18</f>
        <v>5</v>
      </c>
      <c r="H18" s="5"/>
      <c r="I18" s="5"/>
      <c r="J18" s="5"/>
      <c r="K18" s="5"/>
      <c r="L18" s="10"/>
    </row>
    <row r="19" spans="2:12" ht="30.75" customHeight="1" thickBot="1">
      <c r="B19" s="2604"/>
      <c r="C19" s="72"/>
      <c r="D19" s="32" t="s">
        <v>1287</v>
      </c>
      <c r="E19" s="429">
        <v>5</v>
      </c>
      <c r="F19" s="429">
        <v>0</v>
      </c>
      <c r="G19" s="501">
        <f>+E19+F19</f>
        <v>5</v>
      </c>
      <c r="H19" s="499"/>
      <c r="I19" s="5"/>
      <c r="J19" s="5"/>
      <c r="K19" s="5"/>
      <c r="L19" s="10"/>
    </row>
    <row r="20" spans="2:12" ht="30" customHeight="1" thickBot="1">
      <c r="B20" s="2604"/>
      <c r="C20" s="72"/>
      <c r="D20" s="32" t="s">
        <v>21</v>
      </c>
      <c r="E20" s="475">
        <f>IFERROR(E19/E18,"N.A.")</f>
        <v>1</v>
      </c>
      <c r="F20" s="145" t="str">
        <f>IFERROR(F19/F18,"N.A.")</f>
        <v>N.A.</v>
      </c>
      <c r="G20" s="113">
        <f>IFERROR(G19/G18,0)</f>
        <v>1</v>
      </c>
      <c r="H20" s="5"/>
      <c r="I20" s="5"/>
      <c r="J20" s="5"/>
      <c r="K20" s="5"/>
      <c r="L20" s="10"/>
    </row>
    <row r="21" spans="2:12">
      <c r="B21" s="2604"/>
      <c r="C21" s="70"/>
      <c r="D21" s="2403"/>
      <c r="E21" s="2404"/>
      <c r="F21" s="2404"/>
      <c r="G21" s="2404"/>
      <c r="H21" s="2404"/>
      <c r="I21" s="2404"/>
      <c r="J21" s="2404"/>
      <c r="K21" s="2404"/>
      <c r="L21" s="2598"/>
    </row>
    <row r="22" spans="2:12">
      <c r="B22" s="2604"/>
      <c r="C22" s="70"/>
      <c r="D22" s="2415" t="s">
        <v>1021</v>
      </c>
      <c r="E22" s="2416"/>
      <c r="F22" s="2416"/>
      <c r="G22" s="2416"/>
      <c r="H22" s="2416"/>
      <c r="I22" s="2416"/>
      <c r="J22" s="2416"/>
      <c r="K22" s="2416"/>
      <c r="L22" s="2599"/>
    </row>
    <row r="23" spans="2:12">
      <c r="B23" s="2604"/>
      <c r="C23" s="70"/>
      <c r="D23" s="2415" t="s">
        <v>1288</v>
      </c>
      <c r="E23" s="2416"/>
      <c r="F23" s="2416"/>
      <c r="G23" s="2416"/>
      <c r="H23" s="2416"/>
      <c r="I23" s="2416"/>
      <c r="J23" s="2416"/>
      <c r="K23" s="2416"/>
      <c r="L23" s="2599"/>
    </row>
    <row r="24" spans="2:12" ht="15" thickBot="1">
      <c r="B24" s="2604"/>
      <c r="C24" s="70"/>
      <c r="D24" s="2434" t="s">
        <v>1110</v>
      </c>
      <c r="E24" s="2435"/>
      <c r="F24" s="2435"/>
      <c r="G24" s="2435"/>
      <c r="H24" s="2435"/>
      <c r="I24" s="2435"/>
      <c r="J24" s="2435"/>
      <c r="K24" s="2435"/>
      <c r="L24" s="2600"/>
    </row>
    <row r="25" spans="2:12" ht="15.6" customHeight="1">
      <c r="B25" s="168"/>
      <c r="C25" s="2611" t="s">
        <v>698</v>
      </c>
      <c r="D25" s="2601" t="s">
        <v>1023</v>
      </c>
      <c r="E25" s="2601" t="s">
        <v>1289</v>
      </c>
      <c r="F25" s="2601" t="s">
        <v>1163</v>
      </c>
      <c r="G25" s="2613" t="s">
        <v>1290</v>
      </c>
      <c r="H25" s="627" t="s">
        <v>1291</v>
      </c>
      <c r="I25" s="627" t="s">
        <v>1292</v>
      </c>
      <c r="J25" s="2601" t="s">
        <v>1027</v>
      </c>
      <c r="K25" s="2601" t="s">
        <v>1028</v>
      </c>
      <c r="L25" s="2601" t="s">
        <v>702</v>
      </c>
    </row>
    <row r="26" spans="2:12" ht="35.25" customHeight="1" thickBot="1">
      <c r="B26" s="168"/>
      <c r="C26" s="2612"/>
      <c r="D26" s="2602"/>
      <c r="E26" s="2602"/>
      <c r="F26" s="2602"/>
      <c r="G26" s="2614"/>
      <c r="H26" s="628" t="s">
        <v>1293</v>
      </c>
      <c r="I26" s="628" t="s">
        <v>1294</v>
      </c>
      <c r="J26" s="2602"/>
      <c r="K26" s="2602"/>
      <c r="L26" s="2602"/>
    </row>
    <row r="27" spans="2:12" ht="84.75" customHeight="1" thickBot="1">
      <c r="B27" s="168"/>
      <c r="C27" s="541"/>
      <c r="D27" s="542" t="s">
        <v>2063</v>
      </c>
      <c r="E27" s="925" t="s">
        <v>1295</v>
      </c>
      <c r="F27" s="726" t="s">
        <v>1171</v>
      </c>
      <c r="G27" s="712" t="s">
        <v>1296</v>
      </c>
      <c r="H27" s="677"/>
      <c r="I27" s="678"/>
      <c r="J27" s="678"/>
      <c r="K27" s="728"/>
      <c r="L27" s="730" t="s">
        <v>2062</v>
      </c>
    </row>
    <row r="28" spans="2:12" ht="73.5" customHeight="1" thickBot="1">
      <c r="B28" s="168"/>
      <c r="C28" s="541"/>
      <c r="D28" s="542" t="s">
        <v>2064</v>
      </c>
      <c r="E28" s="924" t="s">
        <v>1295</v>
      </c>
      <c r="F28" s="726" t="s">
        <v>1171</v>
      </c>
      <c r="G28" s="712" t="s">
        <v>1296</v>
      </c>
      <c r="H28" s="677"/>
      <c r="I28" s="835"/>
      <c r="J28" s="835"/>
      <c r="K28" s="836"/>
      <c r="L28" s="923" t="s">
        <v>2062</v>
      </c>
    </row>
    <row r="29" spans="2:12" ht="124.8" customHeight="1" thickBot="1">
      <c r="B29" s="168"/>
      <c r="C29" s="541"/>
      <c r="D29" s="663" t="s">
        <v>1297</v>
      </c>
      <c r="E29" s="961" t="s">
        <v>1295</v>
      </c>
      <c r="F29" s="727" t="s">
        <v>1171</v>
      </c>
      <c r="G29" s="713" t="s">
        <v>1296</v>
      </c>
      <c r="H29" s="679">
        <v>623250000</v>
      </c>
      <c r="I29" s="679">
        <v>623250000</v>
      </c>
      <c r="J29" s="679">
        <v>623250000</v>
      </c>
      <c r="K29" s="729">
        <v>105769435</v>
      </c>
      <c r="L29" s="922" t="s">
        <v>2091</v>
      </c>
    </row>
    <row r="30" spans="2:12" s="306" customFormat="1" ht="33.75" customHeight="1" thickBot="1">
      <c r="B30" s="476"/>
      <c r="C30" s="543"/>
      <c r="D30" s="664" t="s">
        <v>905</v>
      </c>
      <c r="E30" s="543"/>
      <c r="F30" s="543"/>
      <c r="G30" s="543"/>
      <c r="H30" s="563">
        <f>SUM(H27:H29)</f>
        <v>623250000</v>
      </c>
      <c r="I30" s="725">
        <f>SUM(I27:I29)</f>
        <v>623250000</v>
      </c>
      <c r="J30" s="563">
        <f>SUM(J27:J29)</f>
        <v>623250000</v>
      </c>
      <c r="K30" s="563">
        <f>SUM(K27:K29)</f>
        <v>105769435</v>
      </c>
      <c r="L30" s="544"/>
    </row>
    <row r="31" spans="2:12" ht="24" customHeight="1" thickBot="1">
      <c r="B31" s="60" t="s">
        <v>803</v>
      </c>
      <c r="C31" s="85"/>
      <c r="D31" s="2424" t="s">
        <v>1298</v>
      </c>
      <c r="E31" s="2425"/>
      <c r="F31" s="2425"/>
      <c r="G31" s="2425"/>
      <c r="H31" s="2425"/>
      <c r="I31" s="2425"/>
      <c r="J31" s="2425"/>
      <c r="K31" s="2425"/>
      <c r="L31" s="2597"/>
    </row>
    <row r="32" spans="2:12" ht="24" customHeight="1" thickBot="1">
      <c r="B32" s="60" t="s">
        <v>805</v>
      </c>
      <c r="C32" s="85"/>
      <c r="D32" s="2424" t="s">
        <v>1117</v>
      </c>
      <c r="E32" s="2425"/>
      <c r="F32" s="2425"/>
      <c r="G32" s="2425"/>
      <c r="H32" s="2425"/>
      <c r="I32" s="2425"/>
      <c r="J32" s="2425"/>
      <c r="K32" s="2425"/>
      <c r="L32" s="2597"/>
    </row>
    <row r="33" spans="2:11" ht="15" thickBot="1">
      <c r="B33" s="1"/>
      <c r="C33" s="63"/>
      <c r="D33" s="5"/>
      <c r="E33" s="5"/>
      <c r="F33" s="5"/>
      <c r="G33" s="5"/>
      <c r="H33" s="5"/>
      <c r="I33" s="5"/>
      <c r="J33" s="5"/>
      <c r="K33" s="5"/>
    </row>
    <row r="34" spans="2:11" ht="24" customHeight="1" thickBot="1">
      <c r="B34" s="2431" t="s">
        <v>807</v>
      </c>
      <c r="C34" s="2432"/>
      <c r="D34" s="2432"/>
      <c r="E34" s="2433"/>
      <c r="F34" s="5"/>
      <c r="G34" s="5"/>
      <c r="H34" s="5"/>
      <c r="I34" s="5"/>
      <c r="J34" s="5"/>
      <c r="K34" s="5"/>
    </row>
    <row r="35" spans="2:11" ht="15" thickBot="1">
      <c r="B35" s="2421">
        <v>1</v>
      </c>
      <c r="C35" s="72"/>
      <c r="D35" s="38" t="s">
        <v>808</v>
      </c>
      <c r="E35" s="25" t="s">
        <v>809</v>
      </c>
      <c r="F35" s="5"/>
      <c r="G35" s="5"/>
      <c r="H35" s="5"/>
      <c r="I35" s="5"/>
      <c r="J35" s="5"/>
      <c r="K35" s="5"/>
    </row>
    <row r="36" spans="2:11" ht="15" thickBot="1">
      <c r="B36" s="2422"/>
      <c r="C36" s="72"/>
      <c r="D36" s="32" t="s">
        <v>528</v>
      </c>
      <c r="E36" s="24" t="s">
        <v>1299</v>
      </c>
      <c r="F36" s="5"/>
      <c r="G36" s="5"/>
      <c r="H36" s="5"/>
      <c r="I36" s="5"/>
      <c r="J36" s="5"/>
      <c r="K36" s="5"/>
    </row>
    <row r="37" spans="2:11" ht="15" thickBot="1">
      <c r="B37" s="2422"/>
      <c r="C37" s="72"/>
      <c r="D37" s="32" t="s">
        <v>811</v>
      </c>
      <c r="E37" s="24" t="s">
        <v>985</v>
      </c>
      <c r="F37" s="5"/>
      <c r="G37" s="5"/>
      <c r="H37" s="5"/>
      <c r="I37" s="5"/>
      <c r="J37" s="5"/>
      <c r="K37" s="5"/>
    </row>
    <row r="38" spans="2:11" ht="15" thickBot="1">
      <c r="B38" s="2422"/>
      <c r="C38" s="72"/>
      <c r="D38" s="32" t="s">
        <v>531</v>
      </c>
      <c r="E38" s="25" t="s">
        <v>986</v>
      </c>
      <c r="F38" s="5"/>
      <c r="G38" s="5"/>
      <c r="H38" s="5"/>
      <c r="I38" s="5"/>
      <c r="J38" s="5"/>
      <c r="K38" s="5"/>
    </row>
    <row r="39" spans="2:11" ht="15" thickBot="1">
      <c r="B39" s="2422"/>
      <c r="C39" s="72"/>
      <c r="D39" s="32" t="s">
        <v>534</v>
      </c>
      <c r="E39" s="490" t="s">
        <v>944</v>
      </c>
      <c r="F39" s="5"/>
      <c r="G39" s="5"/>
      <c r="H39" s="5"/>
      <c r="I39" s="5"/>
      <c r="J39" s="5"/>
      <c r="K39" s="5"/>
    </row>
    <row r="40" spans="2:11" ht="15" thickBot="1">
      <c r="B40" s="2422"/>
      <c r="C40" s="72"/>
      <c r="D40" s="32" t="s">
        <v>537</v>
      </c>
      <c r="E40" s="24" t="s">
        <v>945</v>
      </c>
      <c r="F40" s="5"/>
      <c r="G40" s="5"/>
      <c r="H40" s="5"/>
      <c r="I40" s="5"/>
      <c r="J40" s="5"/>
      <c r="K40" s="5"/>
    </row>
    <row r="41" spans="2:11" ht="15" thickBot="1">
      <c r="B41" s="2423"/>
      <c r="C41" s="2"/>
      <c r="D41" s="32" t="s">
        <v>815</v>
      </c>
      <c r="E41" s="24" t="s">
        <v>816</v>
      </c>
      <c r="F41" s="5"/>
      <c r="G41" s="5"/>
      <c r="H41" s="5"/>
      <c r="I41" s="5"/>
      <c r="J41" s="5"/>
      <c r="K41" s="5"/>
    </row>
    <row r="42" spans="2:11" ht="15" thickBot="1">
      <c r="B42" s="1"/>
      <c r="C42" s="63"/>
      <c r="D42" s="5"/>
      <c r="E42" s="5"/>
      <c r="F42" s="5"/>
      <c r="G42" s="5"/>
      <c r="H42" s="5"/>
      <c r="I42" s="5"/>
      <c r="J42" s="5"/>
      <c r="K42" s="5"/>
    </row>
    <row r="43" spans="2:11" ht="15" thickBot="1">
      <c r="B43" s="2431" t="s">
        <v>817</v>
      </c>
      <c r="C43" s="2432"/>
      <c r="D43" s="2432"/>
      <c r="E43" s="2433"/>
      <c r="F43" s="5"/>
      <c r="G43" s="5"/>
      <c r="H43" s="5"/>
      <c r="I43" s="5"/>
      <c r="J43" s="5"/>
      <c r="K43" s="5"/>
    </row>
    <row r="44" spans="2:11" ht="15" thickBot="1">
      <c r="B44" s="2421">
        <v>1</v>
      </c>
      <c r="C44" s="72"/>
      <c r="D44" s="38" t="s">
        <v>808</v>
      </c>
      <c r="E44" s="28" t="s">
        <v>818</v>
      </c>
      <c r="F44" s="5"/>
      <c r="G44" s="5"/>
      <c r="H44" s="5"/>
      <c r="I44" s="5"/>
      <c r="J44" s="5"/>
      <c r="K44" s="5"/>
    </row>
    <row r="45" spans="2:11" ht="24.6" thickBot="1">
      <c r="B45" s="2422"/>
      <c r="C45" s="72"/>
      <c r="D45" s="32" t="s">
        <v>528</v>
      </c>
      <c r="E45" s="28" t="s">
        <v>819</v>
      </c>
      <c r="F45" s="5"/>
      <c r="G45" s="5"/>
      <c r="H45" s="5"/>
      <c r="I45" s="5"/>
      <c r="J45" s="5"/>
      <c r="K45" s="5"/>
    </row>
    <row r="46" spans="2:11" ht="15" thickBot="1">
      <c r="B46" s="2422"/>
      <c r="C46" s="72"/>
      <c r="D46" s="32" t="s">
        <v>811</v>
      </c>
      <c r="E46" s="187"/>
      <c r="F46" s="5"/>
      <c r="G46" s="5"/>
      <c r="H46" s="5"/>
      <c r="I46" s="5"/>
      <c r="J46" s="5"/>
      <c r="K46" s="5"/>
    </row>
    <row r="47" spans="2:11" ht="15" thickBot="1">
      <c r="B47" s="2422"/>
      <c r="C47" s="72"/>
      <c r="D47" s="32" t="s">
        <v>531</v>
      </c>
      <c r="E47" s="187"/>
      <c r="F47" s="5"/>
      <c r="G47" s="5"/>
      <c r="H47" s="5"/>
      <c r="I47" s="5"/>
      <c r="J47" s="5"/>
      <c r="K47" s="5"/>
    </row>
    <row r="48" spans="2:11" ht="15" thickBot="1">
      <c r="B48" s="2422"/>
      <c r="C48" s="72"/>
      <c r="D48" s="32" t="s">
        <v>534</v>
      </c>
      <c r="E48" s="187"/>
      <c r="F48" s="5"/>
      <c r="G48" s="5"/>
      <c r="H48" s="5"/>
      <c r="I48" s="5"/>
      <c r="J48" s="5"/>
      <c r="K48" s="5"/>
    </row>
    <row r="49" spans="2:11" ht="15" thickBot="1">
      <c r="B49" s="2422"/>
      <c r="C49" s="72"/>
      <c r="D49" s="32" t="s">
        <v>537</v>
      </c>
      <c r="E49" s="187"/>
      <c r="F49" s="5"/>
      <c r="G49" s="5"/>
      <c r="H49" s="5"/>
      <c r="I49" s="5"/>
      <c r="J49" s="5"/>
      <c r="K49" s="5"/>
    </row>
    <row r="50" spans="2:11" ht="15" thickBot="1">
      <c r="B50" s="2423"/>
      <c r="C50" s="2"/>
      <c r="D50" s="32" t="s">
        <v>815</v>
      </c>
      <c r="E50" s="187"/>
      <c r="F50" s="5"/>
      <c r="G50" s="5"/>
      <c r="H50" s="5"/>
      <c r="I50" s="5"/>
      <c r="J50" s="5"/>
      <c r="K50" s="5"/>
    </row>
    <row r="51" spans="2:11" ht="15" thickBot="1">
      <c r="B51" s="1"/>
      <c r="C51" s="63"/>
      <c r="D51" s="5"/>
      <c r="E51" s="5"/>
      <c r="F51" s="5"/>
      <c r="G51" s="5"/>
      <c r="H51" s="5"/>
      <c r="I51" s="5"/>
      <c r="J51" s="5"/>
      <c r="K51" s="5"/>
    </row>
    <row r="52" spans="2:11" ht="15" customHeight="1" thickBot="1">
      <c r="B52" s="99" t="s">
        <v>820</v>
      </c>
      <c r="C52" s="100"/>
      <c r="D52" s="100"/>
      <c r="E52" s="101"/>
      <c r="F52" s="5"/>
      <c r="G52" s="5"/>
      <c r="H52" s="5"/>
      <c r="I52" s="5"/>
      <c r="J52" s="5"/>
      <c r="K52" s="5"/>
    </row>
    <row r="53" spans="2:11" ht="15" thickBot="1">
      <c r="B53" s="37" t="s">
        <v>821</v>
      </c>
      <c r="C53" s="32" t="s">
        <v>822</v>
      </c>
      <c r="D53" s="32" t="s">
        <v>823</v>
      </c>
      <c r="E53" s="32" t="s">
        <v>824</v>
      </c>
      <c r="F53" s="5"/>
      <c r="G53" s="5"/>
      <c r="H53" s="5"/>
      <c r="I53" s="5"/>
      <c r="J53" s="5"/>
    </row>
    <row r="54" spans="2:11" ht="48.6" thickBot="1">
      <c r="B54" s="39">
        <v>42401</v>
      </c>
      <c r="C54" s="32">
        <v>0.01</v>
      </c>
      <c r="D54" s="40" t="s">
        <v>1300</v>
      </c>
      <c r="E54" s="32"/>
      <c r="F54" s="5"/>
      <c r="G54" s="5"/>
      <c r="H54" s="5"/>
      <c r="I54" s="5"/>
      <c r="J54" s="5"/>
    </row>
    <row r="55" spans="2:11" ht="15" thickBot="1">
      <c r="B55" s="1"/>
      <c r="C55" s="63"/>
      <c r="D55" s="5"/>
      <c r="E55" s="5"/>
      <c r="F55" s="5"/>
      <c r="G55" s="5"/>
      <c r="H55" s="5"/>
      <c r="I55" s="5"/>
      <c r="J55" s="5"/>
      <c r="K55" s="5"/>
    </row>
    <row r="56" spans="2:11">
      <c r="B56" s="105" t="s">
        <v>702</v>
      </c>
      <c r="C56" s="74"/>
      <c r="D56" s="5"/>
      <c r="E56" s="5"/>
      <c r="F56" s="5"/>
      <c r="G56" s="5"/>
      <c r="H56" s="5"/>
      <c r="I56" s="5"/>
      <c r="J56" s="5"/>
      <c r="K56" s="5"/>
    </row>
    <row r="57" spans="2:11" ht="14.4" customHeight="1">
      <c r="B57" s="2605" t="s">
        <v>1301</v>
      </c>
      <c r="C57" s="2606"/>
      <c r="D57" s="2606"/>
      <c r="E57" s="2606"/>
      <c r="F57" s="2606"/>
      <c r="G57" s="2607"/>
      <c r="H57" s="5"/>
      <c r="I57" s="5"/>
      <c r="J57" s="5"/>
      <c r="K57" s="5"/>
    </row>
    <row r="58" spans="2:11">
      <c r="B58" s="2608"/>
      <c r="C58" s="2609"/>
      <c r="D58" s="2609"/>
      <c r="E58" s="2609"/>
      <c r="F58" s="2609"/>
      <c r="G58" s="2610"/>
      <c r="H58" s="5"/>
      <c r="I58" s="5"/>
      <c r="J58" s="5"/>
      <c r="K58" s="5"/>
    </row>
    <row r="59" spans="2:11">
      <c r="B59" s="132"/>
      <c r="C59" s="133"/>
      <c r="D59" s="133"/>
      <c r="E59" s="133"/>
      <c r="F59" s="133"/>
      <c r="G59" s="134"/>
      <c r="H59" s="5"/>
      <c r="I59" s="5"/>
      <c r="J59" s="5"/>
      <c r="K59" s="5"/>
    </row>
    <row r="60" spans="2:11" ht="15" thickBot="1">
      <c r="B60" s="5"/>
      <c r="D60" s="5"/>
      <c r="E60" s="5"/>
      <c r="F60" s="5"/>
      <c r="G60" s="5"/>
      <c r="H60" s="5"/>
      <c r="I60" s="5"/>
      <c r="J60" s="5"/>
      <c r="K60" s="5"/>
    </row>
    <row r="61" spans="2:11" ht="15" thickBot="1">
      <c r="B61" s="2431" t="s">
        <v>1302</v>
      </c>
      <c r="C61" s="2432"/>
      <c r="D61" s="2433"/>
      <c r="E61" s="5"/>
      <c r="F61" s="5"/>
      <c r="G61" s="5"/>
      <c r="H61" s="5"/>
      <c r="I61" s="5"/>
      <c r="J61" s="5"/>
      <c r="K61" s="5"/>
    </row>
    <row r="62" spans="2:11" ht="72.599999999999994" thickBot="1">
      <c r="B62" s="37" t="s">
        <v>827</v>
      </c>
      <c r="C62" s="2"/>
      <c r="D62" s="32" t="s">
        <v>1303</v>
      </c>
      <c r="E62" s="5"/>
      <c r="F62" s="5"/>
      <c r="G62" s="5"/>
      <c r="H62" s="5"/>
      <c r="I62" s="5"/>
      <c r="J62" s="5"/>
      <c r="K62" s="5"/>
    </row>
    <row r="63" spans="2:11">
      <c r="B63" s="2421" t="s">
        <v>829</v>
      </c>
      <c r="C63" s="72"/>
      <c r="D63" s="43" t="s">
        <v>830</v>
      </c>
      <c r="E63" s="5"/>
      <c r="F63" s="5"/>
      <c r="G63" s="5"/>
      <c r="H63" s="5"/>
      <c r="I63" s="5"/>
      <c r="J63" s="5"/>
      <c r="K63" s="5"/>
    </row>
    <row r="64" spans="2:11" ht="84">
      <c r="B64" s="2422"/>
      <c r="C64" s="72"/>
      <c r="D64" s="36" t="s">
        <v>1304</v>
      </c>
      <c r="E64" s="5"/>
      <c r="F64" s="5"/>
      <c r="G64" s="5"/>
      <c r="H64" s="5"/>
      <c r="I64" s="5"/>
      <c r="J64" s="5"/>
      <c r="K64" s="5"/>
    </row>
    <row r="65" spans="2:11">
      <c r="B65" s="2422"/>
      <c r="C65" s="72"/>
      <c r="D65" s="43" t="s">
        <v>833</v>
      </c>
      <c r="E65" s="5"/>
      <c r="F65" s="5"/>
      <c r="G65" s="5"/>
      <c r="H65" s="5"/>
      <c r="I65" s="5"/>
      <c r="J65" s="5"/>
      <c r="K65" s="5"/>
    </row>
    <row r="66" spans="2:11">
      <c r="B66" s="2422"/>
      <c r="C66" s="72"/>
      <c r="D66" s="36" t="s">
        <v>835</v>
      </c>
      <c r="E66" s="5"/>
      <c r="F66" s="5"/>
      <c r="G66" s="5"/>
      <c r="H66" s="5"/>
      <c r="I66" s="5"/>
      <c r="J66" s="5"/>
      <c r="K66" s="5"/>
    </row>
    <row r="67" spans="2:11">
      <c r="B67" s="2422"/>
      <c r="C67" s="72"/>
      <c r="D67" s="43" t="s">
        <v>1085</v>
      </c>
      <c r="E67" s="5"/>
      <c r="F67" s="5"/>
      <c r="G67" s="5"/>
      <c r="H67" s="5"/>
      <c r="I67" s="5"/>
      <c r="J67" s="5"/>
      <c r="K67" s="5"/>
    </row>
    <row r="68" spans="2:11" ht="24.6" thickBot="1">
      <c r="B68" s="2423"/>
      <c r="C68" s="2"/>
      <c r="D68" s="32" t="s">
        <v>1305</v>
      </c>
      <c r="E68" s="5"/>
      <c r="F68" s="5"/>
      <c r="G68" s="5"/>
      <c r="H68" s="5"/>
      <c r="I68" s="5"/>
      <c r="J68" s="5"/>
      <c r="K68" s="5"/>
    </row>
    <row r="69" spans="2:11">
      <c r="B69" s="2421" t="s">
        <v>842</v>
      </c>
      <c r="C69" s="77"/>
      <c r="D69" s="2421"/>
      <c r="E69" s="5"/>
      <c r="F69" s="5"/>
      <c r="G69" s="5"/>
      <c r="H69" s="5"/>
      <c r="I69" s="5"/>
      <c r="J69" s="5"/>
      <c r="K69" s="5"/>
    </row>
    <row r="70" spans="2:11" ht="15" thickBot="1">
      <c r="B70" s="2423"/>
      <c r="C70" s="78"/>
      <c r="D70" s="2423"/>
      <c r="E70" s="5"/>
      <c r="F70" s="5"/>
      <c r="G70" s="5"/>
      <c r="H70" s="5"/>
      <c r="I70" s="5"/>
      <c r="J70" s="5"/>
      <c r="K70" s="5"/>
    </row>
    <row r="71" spans="2:11" ht="72">
      <c r="B71" s="2421" t="s">
        <v>843</v>
      </c>
      <c r="C71" s="72"/>
      <c r="D71" s="36" t="s">
        <v>1190</v>
      </c>
      <c r="E71" s="5"/>
      <c r="F71" s="5"/>
      <c r="G71" s="5"/>
      <c r="H71" s="5"/>
      <c r="I71" s="5"/>
      <c r="J71" s="5"/>
      <c r="K71" s="5"/>
    </row>
    <row r="72" spans="2:11" ht="96">
      <c r="B72" s="2422"/>
      <c r="C72" s="72"/>
      <c r="D72" s="36" t="s">
        <v>1191</v>
      </c>
      <c r="E72" s="5"/>
      <c r="F72" s="5"/>
      <c r="G72" s="5"/>
      <c r="H72" s="5"/>
      <c r="I72" s="5"/>
      <c r="J72" s="5"/>
      <c r="K72" s="5"/>
    </row>
    <row r="73" spans="2:11" ht="48">
      <c r="B73" s="2422"/>
      <c r="C73" s="72"/>
      <c r="D73" s="36" t="s">
        <v>1193</v>
      </c>
      <c r="E73" s="5"/>
      <c r="F73" s="5"/>
      <c r="G73" s="5"/>
      <c r="H73" s="5"/>
      <c r="I73" s="5"/>
      <c r="J73" s="5"/>
      <c r="K73" s="5"/>
    </row>
    <row r="74" spans="2:11" ht="24">
      <c r="B74" s="2422"/>
      <c r="C74" s="72"/>
      <c r="D74" s="36" t="s">
        <v>1306</v>
      </c>
      <c r="E74" s="5"/>
      <c r="F74" s="5"/>
      <c r="G74" s="5"/>
      <c r="H74" s="5"/>
      <c r="I74" s="5"/>
      <c r="J74" s="5"/>
      <c r="K74" s="5"/>
    </row>
    <row r="75" spans="2:11" ht="120.6" thickBot="1">
      <c r="B75" s="2423"/>
      <c r="C75" s="2"/>
      <c r="D75" s="32" t="s">
        <v>1307</v>
      </c>
      <c r="E75" s="5"/>
      <c r="F75" s="5"/>
      <c r="G75" s="5"/>
      <c r="H75" s="5"/>
      <c r="I75" s="5"/>
      <c r="J75" s="5"/>
      <c r="K75" s="5"/>
    </row>
    <row r="76" spans="2:11" ht="24">
      <c r="B76" s="2421" t="s">
        <v>860</v>
      </c>
      <c r="C76" s="72"/>
      <c r="D76" s="43" t="s">
        <v>1308</v>
      </c>
      <c r="E76" s="5"/>
      <c r="F76" s="5"/>
      <c r="G76" s="5"/>
      <c r="H76" s="5"/>
      <c r="I76" s="5"/>
      <c r="J76" s="5"/>
      <c r="K76" s="5"/>
    </row>
    <row r="77" spans="2:11">
      <c r="B77" s="2422"/>
      <c r="C77" s="72"/>
      <c r="D77" s="13"/>
      <c r="E77" s="5"/>
      <c r="F77" s="5"/>
      <c r="G77" s="5"/>
      <c r="H77" s="5"/>
      <c r="I77" s="5"/>
      <c r="J77" s="5"/>
      <c r="K77" s="5"/>
    </row>
    <row r="78" spans="2:11">
      <c r="B78" s="2422"/>
      <c r="C78" s="72"/>
      <c r="D78" s="36" t="s">
        <v>861</v>
      </c>
      <c r="E78" s="5"/>
      <c r="F78" s="5"/>
      <c r="G78" s="5"/>
      <c r="H78" s="5"/>
      <c r="I78" s="5"/>
      <c r="J78" s="5"/>
      <c r="K78" s="5"/>
    </row>
    <row r="79" spans="2:11" ht="26.4">
      <c r="B79" s="2422"/>
      <c r="C79" s="72"/>
      <c r="D79" s="36" t="s">
        <v>1309</v>
      </c>
      <c r="E79" s="5"/>
      <c r="F79" s="5"/>
      <c r="G79" s="5"/>
      <c r="H79" s="5"/>
      <c r="I79" s="5"/>
      <c r="J79" s="5"/>
      <c r="K79" s="5"/>
    </row>
    <row r="80" spans="2:11" ht="26.4">
      <c r="B80" s="2422"/>
      <c r="C80" s="72"/>
      <c r="D80" s="36" t="s">
        <v>1310</v>
      </c>
      <c r="E80" s="5"/>
      <c r="F80" s="5"/>
      <c r="G80" s="5"/>
      <c r="H80" s="5"/>
      <c r="I80" s="5"/>
      <c r="J80" s="5"/>
      <c r="K80" s="5"/>
    </row>
    <row r="81" spans="2:11" ht="38.4">
      <c r="B81" s="2422"/>
      <c r="C81" s="72"/>
      <c r="D81" s="36" t="s">
        <v>1311</v>
      </c>
      <c r="E81" s="5"/>
      <c r="F81" s="5"/>
      <c r="G81" s="5"/>
      <c r="H81" s="5"/>
      <c r="I81" s="5"/>
      <c r="J81" s="5"/>
      <c r="K81" s="5"/>
    </row>
    <row r="82" spans="2:11">
      <c r="B82" s="2422"/>
      <c r="C82" s="72"/>
      <c r="D82" s="43" t="s">
        <v>1021</v>
      </c>
      <c r="E82" s="5"/>
      <c r="F82" s="5"/>
      <c r="G82" s="5"/>
      <c r="H82" s="5"/>
      <c r="I82" s="5"/>
      <c r="J82" s="5"/>
      <c r="K82" s="5"/>
    </row>
    <row r="83" spans="2:11" ht="24">
      <c r="B83" s="2422"/>
      <c r="C83" s="72"/>
      <c r="D83" s="43" t="s">
        <v>1312</v>
      </c>
      <c r="E83" s="5"/>
      <c r="F83" s="5"/>
      <c r="G83" s="5"/>
      <c r="H83" s="5"/>
      <c r="I83" s="5"/>
      <c r="J83" s="5"/>
      <c r="K83" s="5"/>
    </row>
    <row r="84" spans="2:11">
      <c r="B84" s="2422"/>
      <c r="C84" s="72"/>
      <c r="D84" s="13"/>
      <c r="E84" s="5"/>
      <c r="F84" s="5"/>
      <c r="G84" s="5"/>
      <c r="H84" s="5"/>
      <c r="I84" s="5"/>
      <c r="J84" s="5"/>
      <c r="K84" s="5"/>
    </row>
    <row r="85" spans="2:11">
      <c r="B85" s="2422"/>
      <c r="C85" s="72"/>
      <c r="D85" s="36" t="s">
        <v>861</v>
      </c>
      <c r="E85" s="5"/>
      <c r="F85" s="5"/>
      <c r="G85" s="5"/>
      <c r="H85" s="5"/>
      <c r="I85" s="5"/>
      <c r="J85" s="5"/>
      <c r="K85" s="5"/>
    </row>
    <row r="86" spans="2:11" ht="38.4">
      <c r="B86" s="2422"/>
      <c r="C86" s="72"/>
      <c r="D86" s="36" t="s">
        <v>1313</v>
      </c>
      <c r="E86" s="5"/>
      <c r="F86" s="5"/>
      <c r="G86" s="5"/>
      <c r="H86" s="5"/>
      <c r="I86" s="5"/>
      <c r="J86" s="5"/>
      <c r="K86" s="5"/>
    </row>
    <row r="87" spans="2:11" ht="27" thickBot="1">
      <c r="B87" s="2423"/>
      <c r="C87" s="2"/>
      <c r="D87" s="32" t="s">
        <v>1314</v>
      </c>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37">
    <mergeCell ref="B10:D10"/>
    <mergeCell ref="F10:S10"/>
    <mergeCell ref="F11:S11"/>
    <mergeCell ref="E12:R12"/>
    <mergeCell ref="E13:R13"/>
    <mergeCell ref="B15:B24"/>
    <mergeCell ref="L25:L26"/>
    <mergeCell ref="B57:G58"/>
    <mergeCell ref="B76:B87"/>
    <mergeCell ref="B61:D61"/>
    <mergeCell ref="B63:B68"/>
    <mergeCell ref="B69:B70"/>
    <mergeCell ref="D69:D70"/>
    <mergeCell ref="B71:B75"/>
    <mergeCell ref="C25:C26"/>
    <mergeCell ref="D25:D26"/>
    <mergeCell ref="E25:E26"/>
    <mergeCell ref="F25:F26"/>
    <mergeCell ref="G25:G26"/>
    <mergeCell ref="K25:K26"/>
    <mergeCell ref="D15:L15"/>
    <mergeCell ref="D21:L21"/>
    <mergeCell ref="D22:L22"/>
    <mergeCell ref="D23:L23"/>
    <mergeCell ref="D24:L24"/>
    <mergeCell ref="J25:J26"/>
    <mergeCell ref="B44:B50"/>
    <mergeCell ref="D31:L31"/>
    <mergeCell ref="D32:L32"/>
    <mergeCell ref="B34:E34"/>
    <mergeCell ref="B35:B41"/>
    <mergeCell ref="B43:E43"/>
    <mergeCell ref="A1:P1"/>
    <mergeCell ref="A2:P2"/>
    <mergeCell ref="A3:P3"/>
    <mergeCell ref="A4:D4"/>
    <mergeCell ref="A5:P5"/>
  </mergeCells>
  <phoneticPr fontId="41" type="noConversion"/>
  <conditionalFormatting sqref="E12:R12">
    <cfRule type="expression" dxfId="79" priority="1">
      <formula>E11="SI SE REPORTA"</formula>
    </cfRule>
  </conditionalFormatting>
  <conditionalFormatting sqref="F10">
    <cfRule type="notContainsBlanks" dxfId="78" priority="4">
      <formula>LEN(TRIM(F10))&gt;0</formula>
    </cfRule>
  </conditionalFormatting>
  <conditionalFormatting sqref="F11:S11">
    <cfRule type="expression" dxfId="77" priority="2">
      <formula>E11="NO SE REPORTA"</formula>
    </cfRule>
    <cfRule type="expression" dxfId="76"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7:F19" xr:uid="{00000000-0002-0000-1000-000000000000}">
      <formula1>0</formula1>
    </dataValidation>
    <dataValidation type="whole" operator="greaterThanOrEqual" allowBlank="1" showInputMessage="1" showErrorMessage="1" errorTitle="ERROR" error="Valor en PESOS (sin centavos)" sqref="H27:H29 I29:K29" xr:uid="{00000000-0002-0000-1000-000001000000}">
      <formula1>0</formula1>
    </dataValidation>
    <dataValidation type="list" allowBlank="1" showInputMessage="1" showErrorMessage="1" sqref="E11" xr:uid="{00000000-0002-0000-1000-000002000000}">
      <formula1>REPORTE</formula1>
    </dataValidation>
    <dataValidation type="list" allowBlank="1" showInputMessage="1" showErrorMessage="1" sqref="E10" xr:uid="{00000000-0002-0000-1000-000003000000}">
      <formula1>SI</formula1>
    </dataValidation>
  </dataValidations>
  <hyperlinks>
    <hyperlink ref="B9" location="'ANEXO 3'!A1" display="VOLVER AL INDICE" xr:uid="{00000000-0004-0000-1000-000000000000}"/>
    <hyperlink ref="E39" r:id="rId1" xr:uid="{00000000-0004-0000-1000-000001000000}"/>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pageSetUpPr fitToPage="1"/>
  </sheetPr>
  <dimension ref="A1:Y343"/>
  <sheetViews>
    <sheetView workbookViewId="0">
      <selection sqref="A1:V1"/>
    </sheetView>
  </sheetViews>
  <sheetFormatPr baseColWidth="10" defaultColWidth="11.44140625" defaultRowHeight="36" customHeight="1"/>
  <cols>
    <col min="1" max="1" width="10" customWidth="1"/>
    <col min="2" max="2" width="14.6640625" customWidth="1"/>
    <col min="3" max="3" width="14.109375" customWidth="1"/>
    <col min="4" max="4" width="16.109375" customWidth="1"/>
    <col min="10" max="10" width="122.44140625" bestFit="1" customWidth="1"/>
    <col min="11" max="14" width="17.33203125" customWidth="1"/>
    <col min="15" max="15" width="25.6640625" bestFit="1" customWidth="1"/>
    <col min="16" max="18" width="18.88671875" customWidth="1"/>
    <col min="19" max="19" width="19.33203125" customWidth="1"/>
    <col min="20" max="20" width="17.44140625" customWidth="1"/>
    <col min="21" max="21" width="14" customWidth="1"/>
    <col min="22" max="22" width="26.88671875" customWidth="1"/>
    <col min="23" max="23" width="19.44140625" hidden="1" customWidth="1"/>
    <col min="24" max="24" width="15.109375" hidden="1" customWidth="1"/>
    <col min="25" max="25" width="0" hidden="1" customWidth="1"/>
  </cols>
  <sheetData>
    <row r="1" spans="1:25" ht="109.5" customHeight="1" thickBot="1">
      <c r="A1" s="2306"/>
      <c r="B1" s="2307"/>
      <c r="C1" s="2307"/>
      <c r="D1" s="2307"/>
      <c r="E1" s="2307"/>
      <c r="F1" s="2308"/>
      <c r="G1" s="2308"/>
      <c r="H1" s="2308"/>
      <c r="I1" s="2307"/>
      <c r="J1" s="2307"/>
      <c r="K1" s="2307"/>
      <c r="L1" s="2307"/>
      <c r="M1" s="2307"/>
      <c r="N1" s="2307"/>
      <c r="O1" s="2307"/>
      <c r="P1" s="2307"/>
      <c r="Q1" s="2307"/>
      <c r="R1" s="2307"/>
      <c r="S1" s="2307"/>
      <c r="T1" s="2307"/>
      <c r="U1" s="2307"/>
      <c r="V1" s="2309"/>
    </row>
    <row r="2" spans="1:25" ht="26.25" customHeight="1">
      <c r="A2" s="2310" t="s">
        <v>37</v>
      </c>
      <c r="B2" s="2311"/>
      <c r="C2" s="2311"/>
      <c r="D2" s="2311"/>
      <c r="E2" s="2311"/>
      <c r="F2" s="2312"/>
      <c r="G2" s="2312"/>
      <c r="H2" s="2312"/>
      <c r="I2" s="2311"/>
      <c r="J2" s="2311"/>
      <c r="K2" s="2311"/>
      <c r="L2" s="2311"/>
      <c r="M2" s="2311"/>
      <c r="N2" s="2311"/>
      <c r="O2" s="2311"/>
      <c r="P2" s="2311"/>
      <c r="Q2" s="2311"/>
      <c r="R2" s="2311"/>
      <c r="S2" s="2311"/>
      <c r="T2" s="2311"/>
      <c r="U2" s="2311"/>
      <c r="V2" s="2313"/>
    </row>
    <row r="3" spans="1:25" ht="26.25" customHeight="1">
      <c r="A3" s="2314" t="s">
        <v>38</v>
      </c>
      <c r="B3" s="2315"/>
      <c r="C3" s="2315"/>
      <c r="D3" s="2315"/>
      <c r="E3" s="2315"/>
      <c r="F3" s="2316"/>
      <c r="G3" s="2316"/>
      <c r="H3" s="2316"/>
      <c r="I3" s="2315"/>
      <c r="J3" s="2315"/>
      <c r="K3" s="2315"/>
      <c r="L3" s="2315"/>
      <c r="M3" s="2315"/>
      <c r="N3" s="2315"/>
      <c r="O3" s="2315"/>
      <c r="P3" s="2315"/>
      <c r="Q3" s="2315"/>
      <c r="R3" s="2315"/>
      <c r="S3" s="2315"/>
      <c r="T3" s="2315"/>
      <c r="U3" s="2315"/>
      <c r="V3" s="2317"/>
    </row>
    <row r="4" spans="1:25" ht="26.25" customHeight="1" thickBot="1">
      <c r="A4" s="2318" t="s">
        <v>39</v>
      </c>
      <c r="B4" s="2319"/>
      <c r="C4" s="2319"/>
      <c r="D4" s="2319"/>
      <c r="E4" s="2319"/>
      <c r="F4" s="2320"/>
      <c r="G4" s="2320"/>
      <c r="H4" s="2320"/>
      <c r="I4" s="2319"/>
      <c r="J4" s="2319"/>
      <c r="K4" s="2319"/>
      <c r="L4" s="2319"/>
      <c r="M4" s="2319"/>
      <c r="N4" s="2319"/>
      <c r="O4" s="2319"/>
      <c r="P4" s="2319"/>
      <c r="Q4" s="2319"/>
      <c r="R4" s="2319"/>
      <c r="S4" s="2319"/>
      <c r="T4" s="2319"/>
      <c r="U4" s="2319"/>
      <c r="V4" s="2321"/>
    </row>
    <row r="5" spans="1:25" ht="36" customHeight="1" thickTop="1" thickBot="1">
      <c r="A5" s="2322" t="s">
        <v>40</v>
      </c>
      <c r="B5" s="2323"/>
      <c r="C5" s="2323"/>
      <c r="D5" s="2323"/>
      <c r="E5" s="2323"/>
      <c r="F5" s="2323"/>
      <c r="G5" s="2323"/>
      <c r="H5" s="2323"/>
      <c r="I5" s="2324"/>
      <c r="J5" s="2302" t="s">
        <v>41</v>
      </c>
      <c r="K5" s="2302" t="s">
        <v>42</v>
      </c>
      <c r="L5" s="2325" t="s">
        <v>43</v>
      </c>
      <c r="M5" s="2325"/>
      <c r="N5" s="2302" t="s">
        <v>44</v>
      </c>
      <c r="O5" s="2326" t="s">
        <v>45</v>
      </c>
      <c r="P5" s="2327"/>
      <c r="Q5" s="2327"/>
      <c r="R5" s="2328"/>
      <c r="S5" s="2329" t="s">
        <v>46</v>
      </c>
      <c r="T5" s="2302" t="s">
        <v>47</v>
      </c>
      <c r="U5" s="2301" t="s">
        <v>48</v>
      </c>
      <c r="V5" s="2302" t="s">
        <v>49</v>
      </c>
      <c r="W5" s="2304" t="s">
        <v>50</v>
      </c>
      <c r="X5" s="2305" t="s">
        <v>51</v>
      </c>
    </row>
    <row r="6" spans="1:25" s="325" customFormat="1" ht="36" customHeight="1" thickTop="1" thickBot="1">
      <c r="A6" s="319" t="s">
        <v>52</v>
      </c>
      <c r="B6" s="319" t="s">
        <v>53</v>
      </c>
      <c r="C6" s="320" t="s">
        <v>54</v>
      </c>
      <c r="D6" s="319" t="s">
        <v>55</v>
      </c>
      <c r="E6" s="319" t="s">
        <v>56</v>
      </c>
      <c r="F6" s="319" t="s">
        <v>57</v>
      </c>
      <c r="G6" s="319" t="s">
        <v>58</v>
      </c>
      <c r="H6" s="319" t="s">
        <v>59</v>
      </c>
      <c r="I6" s="321" t="s">
        <v>60</v>
      </c>
      <c r="J6" s="2303"/>
      <c r="K6" s="2303"/>
      <c r="L6" s="322" t="s">
        <v>61</v>
      </c>
      <c r="M6" s="323" t="s">
        <v>62</v>
      </c>
      <c r="N6" s="2303"/>
      <c r="O6" s="324" t="s">
        <v>63</v>
      </c>
      <c r="P6" s="322" t="s">
        <v>64</v>
      </c>
      <c r="Q6" s="324" t="s">
        <v>65</v>
      </c>
      <c r="R6" s="324" t="s">
        <v>66</v>
      </c>
      <c r="S6" s="2330"/>
      <c r="T6" s="2303"/>
      <c r="U6" s="2302"/>
      <c r="V6" s="2303"/>
      <c r="W6" s="2304"/>
      <c r="X6" s="2305"/>
    </row>
    <row r="7" spans="1:25" ht="22.5" customHeight="1" thickTop="1" thickBot="1">
      <c r="A7" s="326" t="s">
        <v>67</v>
      </c>
      <c r="B7" s="326"/>
      <c r="C7" s="326"/>
      <c r="D7" s="326"/>
      <c r="E7" s="326"/>
      <c r="F7" s="327"/>
      <c r="G7" s="327"/>
      <c r="H7" s="327"/>
      <c r="I7" s="328"/>
      <c r="J7" s="329" t="s">
        <v>68</v>
      </c>
      <c r="K7" s="330" t="e">
        <f>+K8+#REF!+K335</f>
        <v>#REF!</v>
      </c>
      <c r="L7" s="330"/>
      <c r="M7" s="330"/>
      <c r="N7" s="330"/>
      <c r="O7" s="330"/>
      <c r="P7" s="330"/>
      <c r="Q7" s="330"/>
      <c r="R7" s="330"/>
      <c r="S7" s="330"/>
      <c r="T7" s="330"/>
      <c r="U7" s="331"/>
      <c r="V7" s="326"/>
      <c r="W7" s="326" t="s">
        <v>69</v>
      </c>
      <c r="X7" s="326" t="s">
        <v>70</v>
      </c>
      <c r="Y7" s="332" t="s">
        <v>70</v>
      </c>
    </row>
    <row r="8" spans="1:25" ht="22.5" customHeight="1" thickTop="1" thickBot="1">
      <c r="A8" s="326" t="s">
        <v>67</v>
      </c>
      <c r="B8" s="326" t="s">
        <v>71</v>
      </c>
      <c r="C8" s="326"/>
      <c r="D8" s="326"/>
      <c r="E8" s="326"/>
      <c r="F8" s="327"/>
      <c r="G8" s="327"/>
      <c r="H8" s="327"/>
      <c r="I8" s="328"/>
      <c r="J8" s="329" t="s">
        <v>72</v>
      </c>
      <c r="K8" s="330"/>
      <c r="L8" s="330"/>
      <c r="M8" s="330"/>
      <c r="N8" s="330"/>
      <c r="O8" s="330"/>
      <c r="P8" s="330"/>
      <c r="Q8" s="330"/>
      <c r="R8" s="330"/>
      <c r="S8" s="330"/>
      <c r="T8" s="330"/>
      <c r="U8" s="331"/>
      <c r="V8" s="326"/>
      <c r="W8" s="326"/>
      <c r="X8" s="326"/>
      <c r="Y8" s="332"/>
    </row>
    <row r="9" spans="1:25" ht="22.5" customHeight="1" thickTop="1" thickBot="1">
      <c r="A9" s="333">
        <v>1</v>
      </c>
      <c r="B9" s="334" t="s">
        <v>71</v>
      </c>
      <c r="C9" s="334" t="s">
        <v>71</v>
      </c>
      <c r="D9" s="334"/>
      <c r="E9" s="334"/>
      <c r="F9" s="335"/>
      <c r="G9" s="335"/>
      <c r="H9" s="335"/>
      <c r="I9" s="335"/>
      <c r="J9" s="336" t="s">
        <v>73</v>
      </c>
      <c r="K9" s="337"/>
      <c r="L9" s="337"/>
      <c r="M9" s="337"/>
      <c r="N9" s="337"/>
      <c r="O9" s="337"/>
      <c r="P9" s="337"/>
      <c r="Q9" s="337"/>
      <c r="R9" s="337"/>
      <c r="S9" s="337"/>
      <c r="T9" s="337"/>
      <c r="U9" s="338"/>
      <c r="V9" s="333"/>
      <c r="W9" s="333" t="s">
        <v>74</v>
      </c>
      <c r="X9" s="333"/>
      <c r="Y9" s="332" t="s">
        <v>70</v>
      </c>
    </row>
    <row r="10" spans="1:25" ht="22.5" customHeight="1" thickTop="1" thickBot="1">
      <c r="A10" s="339">
        <v>1</v>
      </c>
      <c r="B10" s="340" t="s">
        <v>71</v>
      </c>
      <c r="C10" s="340" t="s">
        <v>71</v>
      </c>
      <c r="D10" s="340" t="s">
        <v>71</v>
      </c>
      <c r="E10" s="340"/>
      <c r="F10" s="341"/>
      <c r="G10" s="341"/>
      <c r="H10" s="341"/>
      <c r="I10" s="341"/>
      <c r="J10" s="342" t="s">
        <v>75</v>
      </c>
      <c r="K10" s="343"/>
      <c r="L10" s="343"/>
      <c r="M10" s="343"/>
      <c r="N10" s="343"/>
      <c r="O10" s="343"/>
      <c r="P10" s="343"/>
      <c r="Q10" s="343"/>
      <c r="R10" s="343"/>
      <c r="S10" s="343"/>
      <c r="T10" s="343"/>
      <c r="U10" s="344"/>
      <c r="V10" s="339"/>
      <c r="W10" s="339" t="s">
        <v>76</v>
      </c>
      <c r="X10" s="339" t="s">
        <v>77</v>
      </c>
      <c r="Y10" s="332" t="s">
        <v>70</v>
      </c>
    </row>
    <row r="11" spans="1:25" ht="22.5" customHeight="1" thickTop="1" thickBot="1">
      <c r="A11" s="345" t="s">
        <v>67</v>
      </c>
      <c r="B11" s="346" t="s">
        <v>71</v>
      </c>
      <c r="C11" s="346" t="s">
        <v>71</v>
      </c>
      <c r="D11" s="346" t="s">
        <v>71</v>
      </c>
      <c r="E11" s="346" t="s">
        <v>71</v>
      </c>
      <c r="F11" s="347"/>
      <c r="G11" s="347"/>
      <c r="H11" s="347"/>
      <c r="I11" s="347"/>
      <c r="J11" s="348" t="s">
        <v>78</v>
      </c>
      <c r="K11" s="349"/>
      <c r="L11" s="349"/>
      <c r="M11" s="349"/>
      <c r="N11" s="349"/>
      <c r="O11" s="349"/>
      <c r="P11" s="349"/>
      <c r="Q11" s="349"/>
      <c r="R11" s="349"/>
      <c r="S11" s="349"/>
      <c r="T11" s="349"/>
      <c r="U11" s="350"/>
      <c r="V11" s="346"/>
      <c r="W11" s="345" t="s">
        <v>79</v>
      </c>
      <c r="X11" s="345" t="s">
        <v>80</v>
      </c>
      <c r="Y11" s="332" t="s">
        <v>70</v>
      </c>
    </row>
    <row r="12" spans="1:25" s="144" customFormat="1" ht="22.5" customHeight="1" thickTop="1" thickBot="1">
      <c r="A12" s="351" t="s">
        <v>67</v>
      </c>
      <c r="B12" s="351" t="s">
        <v>71</v>
      </c>
      <c r="C12" s="351" t="s">
        <v>71</v>
      </c>
      <c r="D12" s="351" t="s">
        <v>71</v>
      </c>
      <c r="E12" s="351" t="s">
        <v>71</v>
      </c>
      <c r="F12" s="352" t="s">
        <v>71</v>
      </c>
      <c r="G12" s="352"/>
      <c r="H12" s="352"/>
      <c r="I12" s="352"/>
      <c r="J12" s="353" t="s">
        <v>81</v>
      </c>
      <c r="K12" s="354"/>
      <c r="L12" s="354"/>
      <c r="M12" s="354"/>
      <c r="N12" s="354"/>
      <c r="O12" s="354"/>
      <c r="P12" s="354"/>
      <c r="Q12" s="354"/>
      <c r="R12" s="354"/>
      <c r="S12" s="354"/>
      <c r="T12" s="354"/>
      <c r="U12" s="355"/>
      <c r="V12" s="356"/>
      <c r="W12" s="356" t="s">
        <v>82</v>
      </c>
      <c r="X12" s="356" t="s">
        <v>83</v>
      </c>
      <c r="Y12" s="332" t="s">
        <v>70</v>
      </c>
    </row>
    <row r="13" spans="1:25" ht="22.5" customHeight="1" thickTop="1" thickBot="1">
      <c r="A13" s="352" t="s">
        <v>67</v>
      </c>
      <c r="B13" s="352" t="s">
        <v>71</v>
      </c>
      <c r="C13" s="352" t="s">
        <v>71</v>
      </c>
      <c r="D13" s="352" t="s">
        <v>71</v>
      </c>
      <c r="E13" s="352" t="s">
        <v>71</v>
      </c>
      <c r="F13" s="352" t="s">
        <v>71</v>
      </c>
      <c r="G13" s="352" t="s">
        <v>71</v>
      </c>
      <c r="H13" s="352"/>
      <c r="I13" s="352"/>
      <c r="J13" s="357" t="s">
        <v>84</v>
      </c>
      <c r="K13" s="358"/>
      <c r="L13" s="358"/>
      <c r="M13" s="358"/>
      <c r="N13" s="358"/>
      <c r="O13" s="358"/>
      <c r="P13" s="358"/>
      <c r="Q13" s="358"/>
      <c r="R13" s="358"/>
      <c r="S13" s="358"/>
      <c r="T13" s="358"/>
      <c r="U13" s="359"/>
      <c r="V13" s="360"/>
      <c r="W13" s="360"/>
      <c r="X13" s="360"/>
      <c r="Y13" s="332" t="s">
        <v>70</v>
      </c>
    </row>
    <row r="14" spans="1:25" ht="22.5" customHeight="1" thickTop="1" thickBot="1">
      <c r="A14" s="352" t="s">
        <v>67</v>
      </c>
      <c r="B14" s="352" t="s">
        <v>71</v>
      </c>
      <c r="C14" s="352" t="s">
        <v>71</v>
      </c>
      <c r="D14" s="352" t="s">
        <v>71</v>
      </c>
      <c r="E14" s="352" t="s">
        <v>71</v>
      </c>
      <c r="F14" s="352" t="s">
        <v>71</v>
      </c>
      <c r="G14" s="352" t="s">
        <v>85</v>
      </c>
      <c r="H14" s="352"/>
      <c r="I14" s="352"/>
      <c r="J14" s="357" t="s">
        <v>86</v>
      </c>
      <c r="K14" s="358"/>
      <c r="L14" s="358"/>
      <c r="M14" s="358"/>
      <c r="N14" s="358"/>
      <c r="O14" s="358"/>
      <c r="P14" s="358"/>
      <c r="Q14" s="358"/>
      <c r="R14" s="358"/>
      <c r="S14" s="358"/>
      <c r="T14" s="358"/>
      <c r="U14" s="359"/>
      <c r="V14" s="360"/>
      <c r="W14" s="360"/>
      <c r="X14" s="360"/>
      <c r="Y14" s="332" t="s">
        <v>70</v>
      </c>
    </row>
    <row r="15" spans="1:25" ht="22.5" customHeight="1" thickTop="1" thickBot="1">
      <c r="A15" s="352" t="s">
        <v>67</v>
      </c>
      <c r="B15" s="352" t="s">
        <v>71</v>
      </c>
      <c r="C15" s="352" t="s">
        <v>71</v>
      </c>
      <c r="D15" s="352" t="s">
        <v>71</v>
      </c>
      <c r="E15" s="352" t="s">
        <v>71</v>
      </c>
      <c r="F15" s="352" t="s">
        <v>71</v>
      </c>
      <c r="G15" s="352" t="s">
        <v>87</v>
      </c>
      <c r="H15" s="352"/>
      <c r="I15" s="352"/>
      <c r="J15" s="357" t="s">
        <v>88</v>
      </c>
      <c r="K15" s="358"/>
      <c r="L15" s="358"/>
      <c r="M15" s="358"/>
      <c r="N15" s="358"/>
      <c r="O15" s="358"/>
      <c r="P15" s="358"/>
      <c r="Q15" s="358"/>
      <c r="R15" s="358"/>
      <c r="S15" s="358"/>
      <c r="T15" s="358"/>
      <c r="U15" s="359"/>
      <c r="V15" s="360"/>
      <c r="W15" s="360"/>
      <c r="X15" s="360"/>
      <c r="Y15" s="332"/>
    </row>
    <row r="16" spans="1:25" ht="22.5" customHeight="1" thickTop="1" thickBot="1">
      <c r="A16" s="352" t="s">
        <v>67</v>
      </c>
      <c r="B16" s="352" t="s">
        <v>71</v>
      </c>
      <c r="C16" s="352" t="s">
        <v>71</v>
      </c>
      <c r="D16" s="352" t="s">
        <v>71</v>
      </c>
      <c r="E16" s="352" t="s">
        <v>71</v>
      </c>
      <c r="F16" s="352" t="s">
        <v>71</v>
      </c>
      <c r="G16" s="352" t="s">
        <v>89</v>
      </c>
      <c r="H16" s="352"/>
      <c r="I16" s="352"/>
      <c r="J16" s="357" t="s">
        <v>90</v>
      </c>
      <c r="K16" s="358"/>
      <c r="L16" s="358"/>
      <c r="M16" s="358"/>
      <c r="N16" s="358"/>
      <c r="O16" s="358"/>
      <c r="P16" s="358"/>
      <c r="Q16" s="358"/>
      <c r="R16" s="358"/>
      <c r="S16" s="358"/>
      <c r="T16" s="358"/>
      <c r="U16" s="359"/>
      <c r="V16" s="360"/>
      <c r="W16" s="360"/>
      <c r="X16" s="360"/>
      <c r="Y16" s="332"/>
    </row>
    <row r="17" spans="1:25" ht="22.5" customHeight="1" thickTop="1" thickBot="1">
      <c r="A17" s="352" t="s">
        <v>67</v>
      </c>
      <c r="B17" s="352" t="s">
        <v>71</v>
      </c>
      <c r="C17" s="352" t="s">
        <v>71</v>
      </c>
      <c r="D17" s="352" t="s">
        <v>71</v>
      </c>
      <c r="E17" s="352" t="s">
        <v>71</v>
      </c>
      <c r="F17" s="352" t="s">
        <v>71</v>
      </c>
      <c r="G17" s="352" t="s">
        <v>91</v>
      </c>
      <c r="H17" s="352"/>
      <c r="I17" s="352"/>
      <c r="J17" s="357" t="s">
        <v>92</v>
      </c>
      <c r="K17" s="358"/>
      <c r="L17" s="358"/>
      <c r="M17" s="358"/>
      <c r="N17" s="358"/>
      <c r="O17" s="358"/>
      <c r="P17" s="358"/>
      <c r="Q17" s="358"/>
      <c r="R17" s="358"/>
      <c r="S17" s="358"/>
      <c r="T17" s="358"/>
      <c r="U17" s="359"/>
      <c r="V17" s="360"/>
      <c r="W17" s="360"/>
      <c r="X17" s="360"/>
      <c r="Y17" s="332"/>
    </row>
    <row r="18" spans="1:25" ht="22.5" customHeight="1" thickTop="1" thickBot="1">
      <c r="A18" s="352" t="s">
        <v>67</v>
      </c>
      <c r="B18" s="352" t="s">
        <v>71</v>
      </c>
      <c r="C18" s="352" t="s">
        <v>71</v>
      </c>
      <c r="D18" s="352" t="s">
        <v>71</v>
      </c>
      <c r="E18" s="352" t="s">
        <v>71</v>
      </c>
      <c r="F18" s="352" t="s">
        <v>71</v>
      </c>
      <c r="G18" s="352" t="s">
        <v>93</v>
      </c>
      <c r="H18" s="352"/>
      <c r="I18" s="352"/>
      <c r="J18" s="357" t="s">
        <v>94</v>
      </c>
      <c r="K18" s="358"/>
      <c r="L18" s="358"/>
      <c r="M18" s="358"/>
      <c r="N18" s="358"/>
      <c r="O18" s="358"/>
      <c r="P18" s="358"/>
      <c r="Q18" s="358"/>
      <c r="R18" s="358"/>
      <c r="S18" s="358"/>
      <c r="T18" s="358"/>
      <c r="U18" s="359"/>
      <c r="V18" s="360"/>
      <c r="W18" s="360"/>
      <c r="X18" s="360"/>
      <c r="Y18" s="332"/>
    </row>
    <row r="19" spans="1:25" ht="22.5" customHeight="1" thickTop="1" thickBot="1">
      <c r="A19" s="352" t="s">
        <v>67</v>
      </c>
      <c r="B19" s="352" t="s">
        <v>71</v>
      </c>
      <c r="C19" s="352" t="s">
        <v>71</v>
      </c>
      <c r="D19" s="352" t="s">
        <v>71</v>
      </c>
      <c r="E19" s="352" t="s">
        <v>71</v>
      </c>
      <c r="F19" s="352" t="s">
        <v>71</v>
      </c>
      <c r="G19" s="352" t="s">
        <v>95</v>
      </c>
      <c r="H19" s="352"/>
      <c r="I19" s="352"/>
      <c r="J19" s="357" t="s">
        <v>96</v>
      </c>
      <c r="K19" s="358"/>
      <c r="L19" s="358"/>
      <c r="M19" s="358"/>
      <c r="N19" s="358"/>
      <c r="O19" s="358"/>
      <c r="P19" s="358"/>
      <c r="Q19" s="358"/>
      <c r="R19" s="358"/>
      <c r="S19" s="358"/>
      <c r="T19" s="358"/>
      <c r="U19" s="359"/>
      <c r="V19" s="360"/>
      <c r="W19" s="360"/>
      <c r="X19" s="360"/>
      <c r="Y19" s="332"/>
    </row>
    <row r="20" spans="1:25" ht="22.5" customHeight="1" thickTop="1" thickBot="1">
      <c r="A20" s="352" t="s">
        <v>67</v>
      </c>
      <c r="B20" s="352" t="s">
        <v>71</v>
      </c>
      <c r="C20" s="352" t="s">
        <v>71</v>
      </c>
      <c r="D20" s="352" t="s">
        <v>71</v>
      </c>
      <c r="E20" s="352" t="s">
        <v>71</v>
      </c>
      <c r="F20" s="352" t="s">
        <v>71</v>
      </c>
      <c r="G20" s="352" t="s">
        <v>97</v>
      </c>
      <c r="H20" s="352"/>
      <c r="I20" s="352"/>
      <c r="J20" s="357" t="s">
        <v>90</v>
      </c>
      <c r="K20" s="358"/>
      <c r="L20" s="358"/>
      <c r="M20" s="358"/>
      <c r="N20" s="358"/>
      <c r="O20" s="358"/>
      <c r="P20" s="358"/>
      <c r="Q20" s="358"/>
      <c r="R20" s="358"/>
      <c r="S20" s="358"/>
      <c r="T20" s="358"/>
      <c r="U20" s="359"/>
      <c r="V20" s="360"/>
      <c r="W20" s="360"/>
      <c r="X20" s="360"/>
      <c r="Y20" s="332"/>
    </row>
    <row r="21" spans="1:25" s="144" customFormat="1" ht="22.5" customHeight="1" thickTop="1" thickBot="1">
      <c r="A21" s="351" t="s">
        <v>67</v>
      </c>
      <c r="B21" s="351" t="s">
        <v>71</v>
      </c>
      <c r="C21" s="351" t="s">
        <v>71</v>
      </c>
      <c r="D21" s="351" t="s">
        <v>71</v>
      </c>
      <c r="E21" s="351" t="s">
        <v>71</v>
      </c>
      <c r="F21" s="351" t="s">
        <v>85</v>
      </c>
      <c r="G21" s="352"/>
      <c r="H21" s="352"/>
      <c r="I21" s="352"/>
      <c r="J21" s="353" t="s">
        <v>98</v>
      </c>
      <c r="K21" s="361"/>
      <c r="L21" s="361"/>
      <c r="M21" s="361"/>
      <c r="N21" s="361"/>
      <c r="O21" s="361"/>
      <c r="P21" s="361"/>
      <c r="Q21" s="361"/>
      <c r="R21" s="361"/>
      <c r="S21" s="361"/>
      <c r="T21" s="361"/>
      <c r="U21" s="362"/>
      <c r="V21" s="356"/>
      <c r="W21" s="356" t="s">
        <v>99</v>
      </c>
      <c r="X21" s="356" t="s">
        <v>100</v>
      </c>
      <c r="Y21" s="332" t="s">
        <v>70</v>
      </c>
    </row>
    <row r="22" spans="1:25" ht="22.5" customHeight="1" thickTop="1" thickBot="1">
      <c r="A22" s="352" t="s">
        <v>67</v>
      </c>
      <c r="B22" s="352" t="s">
        <v>71</v>
      </c>
      <c r="C22" s="352" t="s">
        <v>71</v>
      </c>
      <c r="D22" s="352" t="s">
        <v>71</v>
      </c>
      <c r="E22" s="352" t="s">
        <v>85</v>
      </c>
      <c r="F22" s="351" t="s">
        <v>85</v>
      </c>
      <c r="G22" s="352" t="s">
        <v>71</v>
      </c>
      <c r="H22" s="352"/>
      <c r="I22" s="352"/>
      <c r="J22" s="357" t="s">
        <v>101</v>
      </c>
      <c r="K22" s="363"/>
      <c r="L22" s="363"/>
      <c r="M22" s="363"/>
      <c r="N22" s="358"/>
      <c r="O22" s="363"/>
      <c r="P22" s="363"/>
      <c r="Q22" s="363"/>
      <c r="R22" s="363"/>
      <c r="S22" s="358"/>
      <c r="T22" s="363"/>
      <c r="U22" s="364"/>
      <c r="V22" s="360"/>
      <c r="W22" s="360"/>
      <c r="X22" s="360"/>
      <c r="Y22" s="332" t="s">
        <v>70</v>
      </c>
    </row>
    <row r="23" spans="1:25" ht="22.5" customHeight="1" thickTop="1" thickBot="1">
      <c r="A23" s="352" t="s">
        <v>67</v>
      </c>
      <c r="B23" s="352" t="s">
        <v>71</v>
      </c>
      <c r="C23" s="352" t="s">
        <v>71</v>
      </c>
      <c r="D23" s="352" t="s">
        <v>71</v>
      </c>
      <c r="E23" s="352" t="s">
        <v>85</v>
      </c>
      <c r="F23" s="351" t="s">
        <v>85</v>
      </c>
      <c r="G23" s="352" t="s">
        <v>85</v>
      </c>
      <c r="H23" s="352"/>
      <c r="I23" s="352"/>
      <c r="J23" s="357" t="s">
        <v>102</v>
      </c>
      <c r="K23" s="363"/>
      <c r="L23" s="363"/>
      <c r="M23" s="363"/>
      <c r="N23" s="358"/>
      <c r="O23" s="363"/>
      <c r="P23" s="363"/>
      <c r="Q23" s="363"/>
      <c r="R23" s="363"/>
      <c r="S23" s="358"/>
      <c r="T23" s="363"/>
      <c r="U23" s="364"/>
      <c r="V23" s="360"/>
      <c r="W23" s="360"/>
      <c r="X23" s="360"/>
      <c r="Y23" s="332" t="s">
        <v>70</v>
      </c>
    </row>
    <row r="24" spans="1:25" ht="22.5" customHeight="1" thickTop="1" thickBot="1">
      <c r="A24" s="352" t="s">
        <v>67</v>
      </c>
      <c r="B24" s="352" t="s">
        <v>71</v>
      </c>
      <c r="C24" s="352" t="s">
        <v>71</v>
      </c>
      <c r="D24" s="352" t="s">
        <v>71</v>
      </c>
      <c r="E24" s="352" t="s">
        <v>85</v>
      </c>
      <c r="F24" s="351" t="s">
        <v>85</v>
      </c>
      <c r="G24" s="352" t="s">
        <v>87</v>
      </c>
      <c r="H24" s="352"/>
      <c r="I24" s="352"/>
      <c r="J24" s="357" t="s">
        <v>103</v>
      </c>
      <c r="K24" s="363"/>
      <c r="L24" s="363"/>
      <c r="M24" s="363"/>
      <c r="N24" s="358"/>
      <c r="O24" s="363"/>
      <c r="P24" s="363"/>
      <c r="Q24" s="363"/>
      <c r="R24" s="363"/>
      <c r="S24" s="358"/>
      <c r="T24" s="363"/>
      <c r="U24" s="364"/>
      <c r="V24" s="360"/>
      <c r="W24" s="360"/>
      <c r="X24" s="360"/>
      <c r="Y24" s="332"/>
    </row>
    <row r="25" spans="1:25" ht="22.5" customHeight="1" thickTop="1" thickBot="1">
      <c r="A25" s="352" t="s">
        <v>67</v>
      </c>
      <c r="B25" s="352" t="s">
        <v>71</v>
      </c>
      <c r="C25" s="352" t="s">
        <v>71</v>
      </c>
      <c r="D25" s="352" t="s">
        <v>71</v>
      </c>
      <c r="E25" s="352" t="s">
        <v>85</v>
      </c>
      <c r="F25" s="351" t="s">
        <v>85</v>
      </c>
      <c r="G25" s="352" t="s">
        <v>89</v>
      </c>
      <c r="H25" s="352"/>
      <c r="I25" s="352"/>
      <c r="J25" s="357" t="s">
        <v>104</v>
      </c>
      <c r="K25" s="363"/>
      <c r="L25" s="363"/>
      <c r="M25" s="363"/>
      <c r="N25" s="358"/>
      <c r="O25" s="363"/>
      <c r="P25" s="363"/>
      <c r="Q25" s="363"/>
      <c r="R25" s="363"/>
      <c r="S25" s="358"/>
      <c r="T25" s="363"/>
      <c r="U25" s="364"/>
      <c r="V25" s="360"/>
      <c r="W25" s="360"/>
      <c r="X25" s="360"/>
      <c r="Y25" s="332"/>
    </row>
    <row r="26" spans="1:25" ht="22.5" customHeight="1" thickTop="1" thickBot="1">
      <c r="A26" s="352" t="s">
        <v>67</v>
      </c>
      <c r="B26" s="352" t="s">
        <v>71</v>
      </c>
      <c r="C26" s="352" t="s">
        <v>71</v>
      </c>
      <c r="D26" s="352" t="s">
        <v>71</v>
      </c>
      <c r="E26" s="352" t="s">
        <v>85</v>
      </c>
      <c r="F26" s="351" t="s">
        <v>85</v>
      </c>
      <c r="G26" s="352" t="s">
        <v>91</v>
      </c>
      <c r="H26" s="352"/>
      <c r="I26" s="352"/>
      <c r="J26" s="357" t="s">
        <v>105</v>
      </c>
      <c r="K26" s="363"/>
      <c r="L26" s="363"/>
      <c r="M26" s="363"/>
      <c r="N26" s="358"/>
      <c r="O26" s="363"/>
      <c r="P26" s="363"/>
      <c r="Q26" s="363"/>
      <c r="R26" s="363"/>
      <c r="S26" s="358"/>
      <c r="T26" s="363"/>
      <c r="U26" s="364"/>
      <c r="V26" s="360"/>
      <c r="W26" s="360"/>
      <c r="X26" s="360"/>
      <c r="Y26" s="332"/>
    </row>
    <row r="27" spans="1:25" ht="22.5" customHeight="1" thickTop="1" thickBot="1">
      <c r="A27" s="352" t="s">
        <v>67</v>
      </c>
      <c r="B27" s="352" t="s">
        <v>71</v>
      </c>
      <c r="C27" s="352" t="s">
        <v>71</v>
      </c>
      <c r="D27" s="352" t="s">
        <v>71</v>
      </c>
      <c r="E27" s="352" t="s">
        <v>85</v>
      </c>
      <c r="F27" s="351" t="s">
        <v>85</v>
      </c>
      <c r="G27" s="352" t="s">
        <v>93</v>
      </c>
      <c r="H27" s="352"/>
      <c r="I27" s="352"/>
      <c r="J27" s="357" t="s">
        <v>106</v>
      </c>
      <c r="K27" s="363"/>
      <c r="L27" s="363"/>
      <c r="M27" s="363"/>
      <c r="N27" s="358"/>
      <c r="O27" s="363"/>
      <c r="P27" s="363"/>
      <c r="Q27" s="363"/>
      <c r="R27" s="363"/>
      <c r="S27" s="358"/>
      <c r="T27" s="363"/>
      <c r="U27" s="364"/>
      <c r="V27" s="360"/>
      <c r="W27" s="360"/>
      <c r="X27" s="360"/>
      <c r="Y27" s="332"/>
    </row>
    <row r="28" spans="1:25" ht="22.5" customHeight="1" thickTop="1" thickBot="1">
      <c r="A28" s="352" t="s">
        <v>67</v>
      </c>
      <c r="B28" s="352" t="s">
        <v>71</v>
      </c>
      <c r="C28" s="352" t="s">
        <v>71</v>
      </c>
      <c r="D28" s="352" t="s">
        <v>71</v>
      </c>
      <c r="E28" s="352" t="s">
        <v>85</v>
      </c>
      <c r="F28" s="351" t="s">
        <v>85</v>
      </c>
      <c r="G28" s="352" t="s">
        <v>95</v>
      </c>
      <c r="H28" s="352"/>
      <c r="I28" s="352"/>
      <c r="J28" s="357" t="s">
        <v>107</v>
      </c>
      <c r="K28" s="363"/>
      <c r="L28" s="363"/>
      <c r="M28" s="363"/>
      <c r="N28" s="358"/>
      <c r="O28" s="363"/>
      <c r="P28" s="363"/>
      <c r="Q28" s="363"/>
      <c r="R28" s="363"/>
      <c r="S28" s="358"/>
      <c r="T28" s="363"/>
      <c r="U28" s="364"/>
      <c r="V28" s="360"/>
      <c r="W28" s="360"/>
      <c r="X28" s="360"/>
      <c r="Y28" s="332"/>
    </row>
    <row r="29" spans="1:25" ht="22.5" customHeight="1" thickTop="1" thickBot="1">
      <c r="A29" s="352" t="s">
        <v>67</v>
      </c>
      <c r="B29" s="352" t="s">
        <v>71</v>
      </c>
      <c r="C29" s="352" t="s">
        <v>71</v>
      </c>
      <c r="D29" s="352" t="s">
        <v>71</v>
      </c>
      <c r="E29" s="352" t="s">
        <v>85</v>
      </c>
      <c r="F29" s="351" t="s">
        <v>85</v>
      </c>
      <c r="G29" s="352" t="s">
        <v>97</v>
      </c>
      <c r="H29" s="352"/>
      <c r="I29" s="352"/>
      <c r="J29" s="357" t="s">
        <v>104</v>
      </c>
      <c r="K29" s="363"/>
      <c r="L29" s="363"/>
      <c r="M29" s="363"/>
      <c r="N29" s="358"/>
      <c r="O29" s="363"/>
      <c r="P29" s="363"/>
      <c r="Q29" s="363"/>
      <c r="R29" s="363"/>
      <c r="S29" s="358"/>
      <c r="T29" s="363"/>
      <c r="U29" s="364"/>
      <c r="V29" s="360"/>
      <c r="W29" s="360"/>
      <c r="X29" s="360"/>
      <c r="Y29" s="332"/>
    </row>
    <row r="30" spans="1:25" ht="22.5" customHeight="1" thickTop="1" thickBot="1">
      <c r="A30" s="360" t="s">
        <v>67</v>
      </c>
      <c r="B30" s="360" t="s">
        <v>71</v>
      </c>
      <c r="C30" s="352" t="s">
        <v>71</v>
      </c>
      <c r="D30" s="352" t="s">
        <v>71</v>
      </c>
      <c r="E30" s="360" t="s">
        <v>71</v>
      </c>
      <c r="F30" s="360" t="s">
        <v>71</v>
      </c>
      <c r="G30" s="351" t="s">
        <v>71</v>
      </c>
      <c r="H30" s="352"/>
      <c r="I30" s="352"/>
      <c r="J30" s="353" t="s">
        <v>108</v>
      </c>
      <c r="K30" s="369"/>
      <c r="L30" s="369"/>
      <c r="M30" s="369"/>
      <c r="N30" s="369"/>
      <c r="O30" s="369"/>
      <c r="P30" s="369"/>
      <c r="Q30" s="369"/>
      <c r="R30" s="369"/>
      <c r="S30" s="369"/>
      <c r="T30" s="369"/>
      <c r="U30" s="355"/>
      <c r="V30" s="351"/>
      <c r="W30" s="360" t="s">
        <v>109</v>
      </c>
      <c r="X30" s="360" t="s">
        <v>110</v>
      </c>
      <c r="Y30" s="332" t="s">
        <v>70</v>
      </c>
    </row>
    <row r="31" spans="1:25" ht="22.5" customHeight="1" thickTop="1" thickBot="1">
      <c r="A31" s="360" t="s">
        <v>67</v>
      </c>
      <c r="B31" s="360" t="s">
        <v>71</v>
      </c>
      <c r="C31" s="352" t="s">
        <v>71</v>
      </c>
      <c r="D31" s="352" t="s">
        <v>71</v>
      </c>
      <c r="E31" s="360" t="s">
        <v>71</v>
      </c>
      <c r="F31" s="360" t="s">
        <v>71</v>
      </c>
      <c r="G31" s="352" t="s">
        <v>71</v>
      </c>
      <c r="H31" s="352" t="s">
        <v>71</v>
      </c>
      <c r="I31" s="352"/>
      <c r="J31" s="357" t="s">
        <v>111</v>
      </c>
      <c r="K31" s="370"/>
      <c r="L31" s="370"/>
      <c r="M31" s="370"/>
      <c r="N31" s="370"/>
      <c r="O31" s="370"/>
      <c r="P31" s="370"/>
      <c r="Q31" s="370"/>
      <c r="R31" s="370"/>
      <c r="S31" s="370"/>
      <c r="T31" s="370"/>
      <c r="U31" s="359"/>
      <c r="V31" s="351"/>
      <c r="W31" s="360"/>
      <c r="X31" s="360"/>
      <c r="Y31" s="332" t="s">
        <v>70</v>
      </c>
    </row>
    <row r="32" spans="1:25" ht="22.5" customHeight="1" thickTop="1" thickBot="1">
      <c r="A32" s="360" t="s">
        <v>67</v>
      </c>
      <c r="B32" s="360" t="s">
        <v>71</v>
      </c>
      <c r="C32" s="352" t="s">
        <v>71</v>
      </c>
      <c r="D32" s="352" t="s">
        <v>71</v>
      </c>
      <c r="E32" s="360" t="s">
        <v>71</v>
      </c>
      <c r="F32" s="360" t="s">
        <v>71</v>
      </c>
      <c r="G32" s="352" t="s">
        <v>71</v>
      </c>
      <c r="H32" s="352" t="s">
        <v>85</v>
      </c>
      <c r="I32" s="352"/>
      <c r="J32" s="357" t="s">
        <v>112</v>
      </c>
      <c r="K32" s="370"/>
      <c r="L32" s="370"/>
      <c r="M32" s="370"/>
      <c r="N32" s="370"/>
      <c r="O32" s="370"/>
      <c r="P32" s="370"/>
      <c r="Q32" s="370"/>
      <c r="R32" s="370"/>
      <c r="S32" s="370"/>
      <c r="T32" s="370"/>
      <c r="U32" s="359"/>
      <c r="V32" s="351"/>
      <c r="W32" s="360"/>
      <c r="X32" s="360"/>
      <c r="Y32" s="332" t="s">
        <v>70</v>
      </c>
    </row>
    <row r="33" spans="1:25" ht="22.5" customHeight="1" thickTop="1" thickBot="1">
      <c r="A33" s="360" t="s">
        <v>67</v>
      </c>
      <c r="B33" s="360" t="s">
        <v>71</v>
      </c>
      <c r="C33" s="352" t="s">
        <v>71</v>
      </c>
      <c r="D33" s="352" t="s">
        <v>71</v>
      </c>
      <c r="E33" s="360" t="s">
        <v>71</v>
      </c>
      <c r="F33" s="360" t="s">
        <v>71</v>
      </c>
      <c r="G33" s="352" t="s">
        <v>71</v>
      </c>
      <c r="H33" s="352" t="s">
        <v>87</v>
      </c>
      <c r="I33" s="352"/>
      <c r="J33" s="357" t="s">
        <v>113</v>
      </c>
      <c r="K33" s="370"/>
      <c r="L33" s="370"/>
      <c r="M33" s="370"/>
      <c r="N33" s="370"/>
      <c r="O33" s="370"/>
      <c r="P33" s="370"/>
      <c r="Q33" s="370"/>
      <c r="R33" s="370"/>
      <c r="S33" s="370"/>
      <c r="T33" s="370"/>
      <c r="U33" s="359"/>
      <c r="V33" s="351"/>
      <c r="W33" s="360"/>
      <c r="X33" s="360"/>
      <c r="Y33" s="332"/>
    </row>
    <row r="34" spans="1:25" ht="22.5" customHeight="1" thickTop="1" thickBot="1">
      <c r="A34" s="360" t="s">
        <v>67</v>
      </c>
      <c r="B34" s="360" t="s">
        <v>71</v>
      </c>
      <c r="C34" s="352" t="s">
        <v>71</v>
      </c>
      <c r="D34" s="352" t="s">
        <v>71</v>
      </c>
      <c r="E34" s="360" t="s">
        <v>71</v>
      </c>
      <c r="F34" s="360" t="s">
        <v>71</v>
      </c>
      <c r="G34" s="352" t="s">
        <v>71</v>
      </c>
      <c r="H34" s="352" t="s">
        <v>89</v>
      </c>
      <c r="I34" s="352"/>
      <c r="J34" s="357" t="s">
        <v>114</v>
      </c>
      <c r="K34" s="370"/>
      <c r="L34" s="370"/>
      <c r="M34" s="370"/>
      <c r="N34" s="370"/>
      <c r="O34" s="370"/>
      <c r="P34" s="370"/>
      <c r="Q34" s="370"/>
      <c r="R34" s="370"/>
      <c r="S34" s="370"/>
      <c r="T34" s="370"/>
      <c r="U34" s="359"/>
      <c r="V34" s="351"/>
      <c r="W34" s="360"/>
      <c r="X34" s="360"/>
      <c r="Y34" s="332"/>
    </row>
    <row r="35" spans="1:25" ht="22.5" customHeight="1" thickTop="1" thickBot="1">
      <c r="A35" s="360" t="s">
        <v>67</v>
      </c>
      <c r="B35" s="360" t="s">
        <v>71</v>
      </c>
      <c r="C35" s="352" t="s">
        <v>71</v>
      </c>
      <c r="D35" s="352" t="s">
        <v>71</v>
      </c>
      <c r="E35" s="360" t="s">
        <v>71</v>
      </c>
      <c r="F35" s="360" t="s">
        <v>71</v>
      </c>
      <c r="G35" s="352" t="s">
        <v>71</v>
      </c>
      <c r="H35" s="352" t="s">
        <v>91</v>
      </c>
      <c r="I35" s="352"/>
      <c r="J35" s="357" t="s">
        <v>115</v>
      </c>
      <c r="K35" s="370"/>
      <c r="L35" s="370"/>
      <c r="M35" s="370"/>
      <c r="N35" s="370"/>
      <c r="O35" s="370"/>
      <c r="P35" s="370"/>
      <c r="Q35" s="370"/>
      <c r="R35" s="370"/>
      <c r="S35" s="370"/>
      <c r="T35" s="370"/>
      <c r="U35" s="359"/>
      <c r="V35" s="351"/>
      <c r="W35" s="360"/>
      <c r="X35" s="360"/>
      <c r="Y35" s="332"/>
    </row>
    <row r="36" spans="1:25" ht="22.5" customHeight="1" thickTop="1" thickBot="1">
      <c r="A36" s="360" t="s">
        <v>67</v>
      </c>
      <c r="B36" s="360" t="s">
        <v>71</v>
      </c>
      <c r="C36" s="352" t="s">
        <v>71</v>
      </c>
      <c r="D36" s="352" t="s">
        <v>71</v>
      </c>
      <c r="E36" s="360" t="s">
        <v>71</v>
      </c>
      <c r="F36" s="360" t="s">
        <v>71</v>
      </c>
      <c r="G36" s="352" t="s">
        <v>71</v>
      </c>
      <c r="H36" s="352" t="s">
        <v>93</v>
      </c>
      <c r="I36" s="352"/>
      <c r="J36" s="357" t="s">
        <v>116</v>
      </c>
      <c r="K36" s="370"/>
      <c r="L36" s="370"/>
      <c r="M36" s="370"/>
      <c r="N36" s="370"/>
      <c r="O36" s="370"/>
      <c r="P36" s="370"/>
      <c r="Q36" s="370"/>
      <c r="R36" s="370"/>
      <c r="S36" s="370"/>
      <c r="T36" s="370"/>
      <c r="U36" s="359"/>
      <c r="V36" s="351"/>
      <c r="W36" s="360"/>
      <c r="X36" s="360"/>
      <c r="Y36" s="332"/>
    </row>
    <row r="37" spans="1:25" ht="22.5" customHeight="1" thickTop="1" thickBot="1">
      <c r="A37" s="360" t="s">
        <v>67</v>
      </c>
      <c r="B37" s="360" t="s">
        <v>71</v>
      </c>
      <c r="C37" s="352" t="s">
        <v>71</v>
      </c>
      <c r="D37" s="352" t="s">
        <v>71</v>
      </c>
      <c r="E37" s="360" t="s">
        <v>71</v>
      </c>
      <c r="F37" s="360" t="s">
        <v>71</v>
      </c>
      <c r="G37" s="352" t="s">
        <v>71</v>
      </c>
      <c r="H37" s="352" t="s">
        <v>95</v>
      </c>
      <c r="I37" s="352"/>
      <c r="J37" s="357" t="s">
        <v>117</v>
      </c>
      <c r="K37" s="370"/>
      <c r="L37" s="370"/>
      <c r="M37" s="370"/>
      <c r="N37" s="370"/>
      <c r="O37" s="370"/>
      <c r="P37" s="370"/>
      <c r="Q37" s="370"/>
      <c r="R37" s="370"/>
      <c r="S37" s="370"/>
      <c r="T37" s="370"/>
      <c r="U37" s="359"/>
      <c r="V37" s="351"/>
      <c r="W37" s="360"/>
      <c r="X37" s="360"/>
      <c r="Y37" s="332"/>
    </row>
    <row r="38" spans="1:25" ht="22.5" customHeight="1" thickTop="1" thickBot="1">
      <c r="A38" s="360" t="s">
        <v>67</v>
      </c>
      <c r="B38" s="360" t="s">
        <v>71</v>
      </c>
      <c r="C38" s="352" t="s">
        <v>71</v>
      </c>
      <c r="D38" s="352" t="s">
        <v>71</v>
      </c>
      <c r="E38" s="360" t="s">
        <v>71</v>
      </c>
      <c r="F38" s="360" t="s">
        <v>71</v>
      </c>
      <c r="G38" s="352" t="s">
        <v>71</v>
      </c>
      <c r="H38" s="352" t="s">
        <v>97</v>
      </c>
      <c r="I38" s="352"/>
      <c r="J38" s="357" t="s">
        <v>114</v>
      </c>
      <c r="K38" s="370"/>
      <c r="L38" s="370"/>
      <c r="M38" s="370"/>
      <c r="N38" s="370"/>
      <c r="O38" s="370"/>
      <c r="P38" s="370"/>
      <c r="Q38" s="370"/>
      <c r="R38" s="370"/>
      <c r="S38" s="370"/>
      <c r="T38" s="370"/>
      <c r="U38" s="359"/>
      <c r="V38" s="351"/>
      <c r="W38" s="360"/>
      <c r="X38" s="360"/>
      <c r="Y38" s="332"/>
    </row>
    <row r="39" spans="1:25" ht="22.5" customHeight="1" thickTop="1" thickBot="1">
      <c r="A39" s="360" t="s">
        <v>67</v>
      </c>
      <c r="B39" s="360" t="s">
        <v>71</v>
      </c>
      <c r="C39" s="352" t="s">
        <v>71</v>
      </c>
      <c r="D39" s="352" t="s">
        <v>71</v>
      </c>
      <c r="E39" s="360" t="s">
        <v>71</v>
      </c>
      <c r="F39" s="360" t="s">
        <v>71</v>
      </c>
      <c r="G39" s="351" t="s">
        <v>85</v>
      </c>
      <c r="H39" s="352"/>
      <c r="I39" s="352"/>
      <c r="J39" s="353" t="s">
        <v>118</v>
      </c>
      <c r="K39" s="369"/>
      <c r="L39" s="369"/>
      <c r="M39" s="369"/>
      <c r="N39" s="369"/>
      <c r="O39" s="369"/>
      <c r="P39" s="369"/>
      <c r="Q39" s="369"/>
      <c r="R39" s="369"/>
      <c r="S39" s="369"/>
      <c r="T39" s="369"/>
      <c r="U39" s="355"/>
      <c r="V39" s="351"/>
      <c r="W39" s="360"/>
      <c r="X39" s="360"/>
      <c r="Y39" s="332"/>
    </row>
    <row r="40" spans="1:25" ht="22.5" customHeight="1" thickTop="1" thickBot="1">
      <c r="A40" s="360" t="s">
        <v>67</v>
      </c>
      <c r="B40" s="360" t="s">
        <v>71</v>
      </c>
      <c r="C40" s="352" t="s">
        <v>71</v>
      </c>
      <c r="D40" s="352" t="s">
        <v>71</v>
      </c>
      <c r="E40" s="360" t="s">
        <v>71</v>
      </c>
      <c r="F40" s="360" t="s">
        <v>71</v>
      </c>
      <c r="G40" s="352" t="s">
        <v>85</v>
      </c>
      <c r="H40" s="352" t="s">
        <v>71</v>
      </c>
      <c r="I40" s="352"/>
      <c r="J40" s="357" t="s">
        <v>119</v>
      </c>
      <c r="K40" s="370"/>
      <c r="L40" s="370"/>
      <c r="M40" s="370"/>
      <c r="N40" s="370"/>
      <c r="O40" s="370"/>
      <c r="P40" s="370"/>
      <c r="Q40" s="370"/>
      <c r="R40" s="370"/>
      <c r="S40" s="370"/>
      <c r="T40" s="370"/>
      <c r="U40" s="359"/>
      <c r="V40" s="351"/>
      <c r="W40" s="360"/>
      <c r="X40" s="360"/>
      <c r="Y40" s="332"/>
    </row>
    <row r="41" spans="1:25" ht="22.5" customHeight="1" thickTop="1" thickBot="1">
      <c r="A41" s="360" t="s">
        <v>67</v>
      </c>
      <c r="B41" s="360" t="s">
        <v>71</v>
      </c>
      <c r="C41" s="352" t="s">
        <v>71</v>
      </c>
      <c r="D41" s="352" t="s">
        <v>71</v>
      </c>
      <c r="E41" s="360" t="s">
        <v>71</v>
      </c>
      <c r="F41" s="360" t="s">
        <v>71</v>
      </c>
      <c r="G41" s="352" t="s">
        <v>85</v>
      </c>
      <c r="H41" s="352" t="s">
        <v>85</v>
      </c>
      <c r="I41" s="352"/>
      <c r="J41" s="357" t="s">
        <v>120</v>
      </c>
      <c r="K41" s="370"/>
      <c r="L41" s="370"/>
      <c r="M41" s="370"/>
      <c r="N41" s="370"/>
      <c r="O41" s="370"/>
      <c r="P41" s="370"/>
      <c r="Q41" s="370"/>
      <c r="R41" s="370"/>
      <c r="S41" s="370"/>
      <c r="T41" s="370"/>
      <c r="U41" s="359"/>
      <c r="V41" s="351"/>
      <c r="W41" s="360"/>
      <c r="X41" s="360"/>
      <c r="Y41" s="332"/>
    </row>
    <row r="42" spans="1:25" ht="22.5" customHeight="1" thickTop="1" thickBot="1">
      <c r="A42" s="360" t="s">
        <v>67</v>
      </c>
      <c r="B42" s="360" t="s">
        <v>71</v>
      </c>
      <c r="C42" s="352" t="s">
        <v>71</v>
      </c>
      <c r="D42" s="352" t="s">
        <v>71</v>
      </c>
      <c r="E42" s="360" t="s">
        <v>71</v>
      </c>
      <c r="F42" s="360" t="s">
        <v>71</v>
      </c>
      <c r="G42" s="352" t="s">
        <v>85</v>
      </c>
      <c r="H42" s="352" t="s">
        <v>87</v>
      </c>
      <c r="I42" s="352"/>
      <c r="J42" s="357" t="s">
        <v>121</v>
      </c>
      <c r="K42" s="370"/>
      <c r="L42" s="370"/>
      <c r="M42" s="370"/>
      <c r="N42" s="370"/>
      <c r="O42" s="370"/>
      <c r="P42" s="370"/>
      <c r="Q42" s="370"/>
      <c r="R42" s="370"/>
      <c r="S42" s="370"/>
      <c r="T42" s="370"/>
      <c r="U42" s="359"/>
      <c r="V42" s="351"/>
      <c r="W42" s="360"/>
      <c r="X42" s="360"/>
      <c r="Y42" s="332"/>
    </row>
    <row r="43" spans="1:25" ht="22.5" customHeight="1" thickTop="1" thickBot="1">
      <c r="A43" s="360" t="s">
        <v>67</v>
      </c>
      <c r="B43" s="360" t="s">
        <v>71</v>
      </c>
      <c r="C43" s="352" t="s">
        <v>71</v>
      </c>
      <c r="D43" s="352" t="s">
        <v>71</v>
      </c>
      <c r="E43" s="360" t="s">
        <v>71</v>
      </c>
      <c r="F43" s="360" t="s">
        <v>71</v>
      </c>
      <c r="G43" s="352" t="s">
        <v>85</v>
      </c>
      <c r="H43" s="352" t="s">
        <v>89</v>
      </c>
      <c r="I43" s="352"/>
      <c r="J43" s="357" t="s">
        <v>122</v>
      </c>
      <c r="K43" s="370"/>
      <c r="L43" s="370"/>
      <c r="M43" s="370"/>
      <c r="N43" s="370"/>
      <c r="O43" s="370"/>
      <c r="P43" s="370"/>
      <c r="Q43" s="370"/>
      <c r="R43" s="370"/>
      <c r="S43" s="370"/>
      <c r="T43" s="370"/>
      <c r="U43" s="359"/>
      <c r="V43" s="351"/>
      <c r="W43" s="360"/>
      <c r="X43" s="360"/>
      <c r="Y43" s="332"/>
    </row>
    <row r="44" spans="1:25" ht="22.5" customHeight="1" thickTop="1" thickBot="1">
      <c r="A44" s="360" t="s">
        <v>67</v>
      </c>
      <c r="B44" s="360" t="s">
        <v>71</v>
      </c>
      <c r="C44" s="352" t="s">
        <v>71</v>
      </c>
      <c r="D44" s="352" t="s">
        <v>71</v>
      </c>
      <c r="E44" s="360" t="s">
        <v>71</v>
      </c>
      <c r="F44" s="360" t="s">
        <v>71</v>
      </c>
      <c r="G44" s="352" t="s">
        <v>85</v>
      </c>
      <c r="H44" s="352" t="s">
        <v>91</v>
      </c>
      <c r="I44" s="352"/>
      <c r="J44" s="357" t="s">
        <v>123</v>
      </c>
      <c r="K44" s="370"/>
      <c r="L44" s="370"/>
      <c r="M44" s="370"/>
      <c r="N44" s="370"/>
      <c r="O44" s="370"/>
      <c r="P44" s="370"/>
      <c r="Q44" s="370"/>
      <c r="R44" s="370"/>
      <c r="S44" s="370"/>
      <c r="T44" s="370"/>
      <c r="U44" s="359"/>
      <c r="V44" s="351"/>
      <c r="W44" s="360"/>
      <c r="X44" s="360"/>
      <c r="Y44" s="332"/>
    </row>
    <row r="45" spans="1:25" ht="22.5" customHeight="1" thickTop="1" thickBot="1">
      <c r="A45" s="360" t="s">
        <v>67</v>
      </c>
      <c r="B45" s="360" t="s">
        <v>71</v>
      </c>
      <c r="C45" s="352" t="s">
        <v>71</v>
      </c>
      <c r="D45" s="352" t="s">
        <v>71</v>
      </c>
      <c r="E45" s="360" t="s">
        <v>71</v>
      </c>
      <c r="F45" s="360" t="s">
        <v>71</v>
      </c>
      <c r="G45" s="352" t="s">
        <v>85</v>
      </c>
      <c r="H45" s="352" t="s">
        <v>93</v>
      </c>
      <c r="I45" s="352"/>
      <c r="J45" s="357" t="s">
        <v>124</v>
      </c>
      <c r="K45" s="370"/>
      <c r="L45" s="370"/>
      <c r="M45" s="370"/>
      <c r="N45" s="370"/>
      <c r="O45" s="370"/>
      <c r="P45" s="370"/>
      <c r="Q45" s="370"/>
      <c r="R45" s="370"/>
      <c r="S45" s="370"/>
      <c r="T45" s="370"/>
      <c r="U45" s="359"/>
      <c r="V45" s="351"/>
      <c r="W45" s="360"/>
      <c r="X45" s="360"/>
      <c r="Y45" s="332"/>
    </row>
    <row r="46" spans="1:25" ht="22.5" customHeight="1" thickTop="1" thickBot="1">
      <c r="A46" s="360" t="s">
        <v>67</v>
      </c>
      <c r="B46" s="360" t="s">
        <v>71</v>
      </c>
      <c r="C46" s="352" t="s">
        <v>71</v>
      </c>
      <c r="D46" s="352" t="s">
        <v>71</v>
      </c>
      <c r="E46" s="360" t="s">
        <v>71</v>
      </c>
      <c r="F46" s="360" t="s">
        <v>71</v>
      </c>
      <c r="G46" s="352" t="s">
        <v>85</v>
      </c>
      <c r="H46" s="352" t="s">
        <v>95</v>
      </c>
      <c r="I46" s="352"/>
      <c r="J46" s="357" t="s">
        <v>125</v>
      </c>
      <c r="K46" s="370"/>
      <c r="L46" s="370"/>
      <c r="M46" s="370"/>
      <c r="N46" s="370"/>
      <c r="O46" s="370"/>
      <c r="P46" s="370"/>
      <c r="Q46" s="370"/>
      <c r="R46" s="370"/>
      <c r="S46" s="370"/>
      <c r="T46" s="370"/>
      <c r="U46" s="359"/>
      <c r="V46" s="351"/>
      <c r="W46" s="360"/>
      <c r="X46" s="360"/>
      <c r="Y46" s="332"/>
    </row>
    <row r="47" spans="1:25" ht="22.5" customHeight="1" thickTop="1" thickBot="1">
      <c r="A47" s="360" t="s">
        <v>67</v>
      </c>
      <c r="B47" s="360" t="s">
        <v>71</v>
      </c>
      <c r="C47" s="352" t="s">
        <v>71</v>
      </c>
      <c r="D47" s="352" t="s">
        <v>71</v>
      </c>
      <c r="E47" s="360" t="s">
        <v>71</v>
      </c>
      <c r="F47" s="360" t="s">
        <v>71</v>
      </c>
      <c r="G47" s="352" t="s">
        <v>85</v>
      </c>
      <c r="H47" s="352" t="s">
        <v>97</v>
      </c>
      <c r="I47" s="352"/>
      <c r="J47" s="357" t="s">
        <v>122</v>
      </c>
      <c r="K47" s="370"/>
      <c r="L47" s="370"/>
      <c r="M47" s="370"/>
      <c r="N47" s="370"/>
      <c r="O47" s="370"/>
      <c r="P47" s="370"/>
      <c r="Q47" s="370"/>
      <c r="R47" s="370"/>
      <c r="S47" s="370"/>
      <c r="T47" s="370"/>
      <c r="U47" s="359"/>
      <c r="V47" s="351"/>
      <c r="W47" s="360"/>
      <c r="X47" s="360"/>
      <c r="Y47" s="332"/>
    </row>
    <row r="48" spans="1:25" ht="22.5" customHeight="1" thickTop="1" thickBot="1">
      <c r="A48" s="360" t="s">
        <v>67</v>
      </c>
      <c r="B48" s="360" t="s">
        <v>71</v>
      </c>
      <c r="C48" s="352" t="s">
        <v>71</v>
      </c>
      <c r="D48" s="352" t="s">
        <v>71</v>
      </c>
      <c r="E48" s="360" t="s">
        <v>71</v>
      </c>
      <c r="F48" s="360" t="s">
        <v>71</v>
      </c>
      <c r="G48" s="351" t="s">
        <v>87</v>
      </c>
      <c r="H48" s="352"/>
      <c r="I48" s="352"/>
      <c r="J48" s="353" t="s">
        <v>126</v>
      </c>
      <c r="K48" s="369"/>
      <c r="L48" s="369"/>
      <c r="M48" s="369"/>
      <c r="N48" s="369"/>
      <c r="O48" s="369"/>
      <c r="P48" s="369"/>
      <c r="Q48" s="369"/>
      <c r="R48" s="369"/>
      <c r="S48" s="369"/>
      <c r="T48" s="369"/>
      <c r="U48" s="355"/>
      <c r="V48" s="351"/>
      <c r="W48" s="360" t="s">
        <v>99</v>
      </c>
      <c r="X48" s="360" t="s">
        <v>100</v>
      </c>
      <c r="Y48" s="332" t="s">
        <v>70</v>
      </c>
    </row>
    <row r="49" spans="1:25" ht="22.5" customHeight="1" thickTop="1" thickBot="1">
      <c r="A49" s="360" t="s">
        <v>67</v>
      </c>
      <c r="B49" s="360" t="s">
        <v>71</v>
      </c>
      <c r="C49" s="352" t="s">
        <v>71</v>
      </c>
      <c r="D49" s="352" t="s">
        <v>71</v>
      </c>
      <c r="E49" s="360" t="s">
        <v>71</v>
      </c>
      <c r="F49" s="360" t="s">
        <v>71</v>
      </c>
      <c r="G49" s="352" t="s">
        <v>87</v>
      </c>
      <c r="H49" s="352" t="s">
        <v>71</v>
      </c>
      <c r="I49" s="352"/>
      <c r="J49" s="357" t="s">
        <v>127</v>
      </c>
      <c r="K49" s="370"/>
      <c r="L49" s="370"/>
      <c r="M49" s="370"/>
      <c r="N49" s="370"/>
      <c r="O49" s="370"/>
      <c r="P49" s="370"/>
      <c r="Q49" s="370"/>
      <c r="R49" s="370"/>
      <c r="S49" s="370"/>
      <c r="T49" s="370"/>
      <c r="U49" s="359"/>
      <c r="V49" s="351"/>
      <c r="W49" s="360"/>
      <c r="X49" s="360"/>
      <c r="Y49" s="332" t="s">
        <v>70</v>
      </c>
    </row>
    <row r="50" spans="1:25" ht="22.5" customHeight="1" thickTop="1" thickBot="1">
      <c r="A50" s="360" t="s">
        <v>67</v>
      </c>
      <c r="B50" s="360" t="s">
        <v>71</v>
      </c>
      <c r="C50" s="352" t="s">
        <v>71</v>
      </c>
      <c r="D50" s="352" t="s">
        <v>71</v>
      </c>
      <c r="E50" s="360" t="s">
        <v>71</v>
      </c>
      <c r="F50" s="360" t="s">
        <v>71</v>
      </c>
      <c r="G50" s="352" t="s">
        <v>87</v>
      </c>
      <c r="H50" s="352" t="s">
        <v>85</v>
      </c>
      <c r="I50" s="352"/>
      <c r="J50" s="357" t="s">
        <v>128</v>
      </c>
      <c r="K50" s="370"/>
      <c r="L50" s="370"/>
      <c r="M50" s="370"/>
      <c r="N50" s="370"/>
      <c r="O50" s="370"/>
      <c r="P50" s="370"/>
      <c r="Q50" s="370"/>
      <c r="R50" s="370"/>
      <c r="S50" s="370"/>
      <c r="T50" s="370"/>
      <c r="U50" s="359"/>
      <c r="V50" s="351"/>
      <c r="W50" s="360"/>
      <c r="X50" s="360"/>
      <c r="Y50" s="332" t="s">
        <v>70</v>
      </c>
    </row>
    <row r="51" spans="1:25" ht="22.5" customHeight="1" thickTop="1" thickBot="1">
      <c r="A51" s="360" t="s">
        <v>67</v>
      </c>
      <c r="B51" s="360" t="s">
        <v>71</v>
      </c>
      <c r="C51" s="352" t="s">
        <v>71</v>
      </c>
      <c r="D51" s="352" t="s">
        <v>71</v>
      </c>
      <c r="E51" s="360" t="s">
        <v>71</v>
      </c>
      <c r="F51" s="360" t="s">
        <v>71</v>
      </c>
      <c r="G51" s="352" t="s">
        <v>87</v>
      </c>
      <c r="H51" s="352" t="s">
        <v>87</v>
      </c>
      <c r="I51" s="352"/>
      <c r="J51" s="357" t="s">
        <v>129</v>
      </c>
      <c r="K51" s="370"/>
      <c r="L51" s="370"/>
      <c r="M51" s="370"/>
      <c r="N51" s="370"/>
      <c r="O51" s="370"/>
      <c r="P51" s="370"/>
      <c r="Q51" s="370"/>
      <c r="R51" s="370"/>
      <c r="S51" s="370"/>
      <c r="T51" s="370"/>
      <c r="U51" s="359"/>
      <c r="V51" s="351"/>
      <c r="W51" s="360"/>
      <c r="X51" s="360"/>
      <c r="Y51" s="332"/>
    </row>
    <row r="52" spans="1:25" ht="22.5" customHeight="1" thickTop="1" thickBot="1">
      <c r="A52" s="360" t="s">
        <v>67</v>
      </c>
      <c r="B52" s="360" t="s">
        <v>71</v>
      </c>
      <c r="C52" s="352" t="s">
        <v>71</v>
      </c>
      <c r="D52" s="352" t="s">
        <v>71</v>
      </c>
      <c r="E52" s="360" t="s">
        <v>71</v>
      </c>
      <c r="F52" s="360" t="s">
        <v>71</v>
      </c>
      <c r="G52" s="352" t="s">
        <v>87</v>
      </c>
      <c r="H52" s="352" t="s">
        <v>89</v>
      </c>
      <c r="I52" s="352"/>
      <c r="J52" s="357" t="s">
        <v>130</v>
      </c>
      <c r="K52" s="370"/>
      <c r="L52" s="370"/>
      <c r="M52" s="370"/>
      <c r="N52" s="370"/>
      <c r="O52" s="370"/>
      <c r="P52" s="370"/>
      <c r="Q52" s="370"/>
      <c r="R52" s="370"/>
      <c r="S52" s="370"/>
      <c r="T52" s="370"/>
      <c r="U52" s="359"/>
      <c r="V52" s="351"/>
      <c r="W52" s="360"/>
      <c r="X52" s="360"/>
      <c r="Y52" s="332"/>
    </row>
    <row r="53" spans="1:25" ht="22.5" customHeight="1" thickTop="1" thickBot="1">
      <c r="A53" s="360" t="s">
        <v>67</v>
      </c>
      <c r="B53" s="360" t="s">
        <v>71</v>
      </c>
      <c r="C53" s="352" t="s">
        <v>71</v>
      </c>
      <c r="D53" s="352" t="s">
        <v>71</v>
      </c>
      <c r="E53" s="360" t="s">
        <v>71</v>
      </c>
      <c r="F53" s="360" t="s">
        <v>71</v>
      </c>
      <c r="G53" s="352" t="s">
        <v>87</v>
      </c>
      <c r="H53" s="352" t="s">
        <v>91</v>
      </c>
      <c r="I53" s="352"/>
      <c r="J53" s="357" t="s">
        <v>131</v>
      </c>
      <c r="K53" s="370"/>
      <c r="L53" s="370"/>
      <c r="M53" s="370"/>
      <c r="N53" s="370"/>
      <c r="O53" s="370"/>
      <c r="P53" s="370"/>
      <c r="Q53" s="370"/>
      <c r="R53" s="370"/>
      <c r="S53" s="370"/>
      <c r="T53" s="370"/>
      <c r="U53" s="359"/>
      <c r="V53" s="351"/>
      <c r="W53" s="360"/>
      <c r="X53" s="360"/>
      <c r="Y53" s="332"/>
    </row>
    <row r="54" spans="1:25" ht="22.5" customHeight="1" thickTop="1" thickBot="1">
      <c r="A54" s="360" t="s">
        <v>67</v>
      </c>
      <c r="B54" s="360" t="s">
        <v>71</v>
      </c>
      <c r="C54" s="352" t="s">
        <v>71</v>
      </c>
      <c r="D54" s="352" t="s">
        <v>71</v>
      </c>
      <c r="E54" s="360" t="s">
        <v>71</v>
      </c>
      <c r="F54" s="360" t="s">
        <v>71</v>
      </c>
      <c r="G54" s="352" t="s">
        <v>87</v>
      </c>
      <c r="H54" s="352" t="s">
        <v>93</v>
      </c>
      <c r="I54" s="352"/>
      <c r="J54" s="357" t="s">
        <v>132</v>
      </c>
      <c r="K54" s="370"/>
      <c r="L54" s="370"/>
      <c r="M54" s="370"/>
      <c r="N54" s="370"/>
      <c r="O54" s="370"/>
      <c r="P54" s="370"/>
      <c r="Q54" s="370"/>
      <c r="R54" s="370"/>
      <c r="S54" s="370"/>
      <c r="T54" s="370"/>
      <c r="U54" s="359"/>
      <c r="V54" s="351"/>
      <c r="W54" s="360"/>
      <c r="X54" s="360"/>
      <c r="Y54" s="332"/>
    </row>
    <row r="55" spans="1:25" ht="22.5" customHeight="1" thickTop="1" thickBot="1">
      <c r="A55" s="360" t="s">
        <v>67</v>
      </c>
      <c r="B55" s="360" t="s">
        <v>71</v>
      </c>
      <c r="C55" s="352" t="s">
        <v>71</v>
      </c>
      <c r="D55" s="352" t="s">
        <v>71</v>
      </c>
      <c r="E55" s="360" t="s">
        <v>71</v>
      </c>
      <c r="F55" s="360" t="s">
        <v>71</v>
      </c>
      <c r="G55" s="352" t="s">
        <v>87</v>
      </c>
      <c r="H55" s="352" t="s">
        <v>95</v>
      </c>
      <c r="I55" s="352"/>
      <c r="J55" s="357" t="s">
        <v>133</v>
      </c>
      <c r="K55" s="370"/>
      <c r="L55" s="370"/>
      <c r="M55" s="370"/>
      <c r="N55" s="370"/>
      <c r="O55" s="370"/>
      <c r="P55" s="370"/>
      <c r="Q55" s="370"/>
      <c r="R55" s="370"/>
      <c r="S55" s="370"/>
      <c r="T55" s="370"/>
      <c r="U55" s="359"/>
      <c r="V55" s="351"/>
      <c r="W55" s="360"/>
      <c r="X55" s="360"/>
      <c r="Y55" s="332"/>
    </row>
    <row r="56" spans="1:25" ht="22.5" customHeight="1" thickTop="1" thickBot="1">
      <c r="A56" s="360" t="s">
        <v>67</v>
      </c>
      <c r="B56" s="360" t="s">
        <v>71</v>
      </c>
      <c r="C56" s="352" t="s">
        <v>71</v>
      </c>
      <c r="D56" s="352" t="s">
        <v>71</v>
      </c>
      <c r="E56" s="360" t="s">
        <v>71</v>
      </c>
      <c r="F56" s="360" t="s">
        <v>71</v>
      </c>
      <c r="G56" s="352" t="s">
        <v>87</v>
      </c>
      <c r="H56" s="352" t="s">
        <v>97</v>
      </c>
      <c r="I56" s="352"/>
      <c r="J56" s="357" t="s">
        <v>130</v>
      </c>
      <c r="K56" s="370"/>
      <c r="L56" s="370"/>
      <c r="M56" s="370"/>
      <c r="N56" s="370"/>
      <c r="O56" s="370"/>
      <c r="P56" s="370"/>
      <c r="Q56" s="370"/>
      <c r="R56" s="370"/>
      <c r="S56" s="370"/>
      <c r="T56" s="370"/>
      <c r="U56" s="359"/>
      <c r="V56" s="351"/>
      <c r="W56" s="360"/>
      <c r="X56" s="360"/>
      <c r="Y56" s="332"/>
    </row>
    <row r="57" spans="1:25" ht="22.5" customHeight="1" thickTop="1" thickBot="1">
      <c r="A57" s="360" t="s">
        <v>67</v>
      </c>
      <c r="B57" s="360" t="s">
        <v>71</v>
      </c>
      <c r="C57" s="352" t="s">
        <v>71</v>
      </c>
      <c r="D57" s="352" t="s">
        <v>71</v>
      </c>
      <c r="E57" s="360" t="s">
        <v>71</v>
      </c>
      <c r="F57" s="360" t="s">
        <v>71</v>
      </c>
      <c r="G57" s="351" t="s">
        <v>89</v>
      </c>
      <c r="H57" s="352"/>
      <c r="I57" s="352"/>
      <c r="J57" s="353" t="s">
        <v>134</v>
      </c>
      <c r="K57" s="369"/>
      <c r="L57" s="369"/>
      <c r="M57" s="369"/>
      <c r="N57" s="369"/>
      <c r="O57" s="369"/>
      <c r="P57" s="369"/>
      <c r="Q57" s="369"/>
      <c r="R57" s="369"/>
      <c r="S57" s="369"/>
      <c r="T57" s="369"/>
      <c r="U57" s="355"/>
      <c r="V57" s="351"/>
      <c r="W57" s="360"/>
      <c r="X57" s="360"/>
      <c r="Y57" s="332"/>
    </row>
    <row r="58" spans="1:25" ht="22.5" customHeight="1" thickTop="1" thickBot="1">
      <c r="A58" s="360" t="s">
        <v>67</v>
      </c>
      <c r="B58" s="360" t="s">
        <v>71</v>
      </c>
      <c r="C58" s="352" t="s">
        <v>71</v>
      </c>
      <c r="D58" s="352" t="s">
        <v>71</v>
      </c>
      <c r="E58" s="360" t="s">
        <v>71</v>
      </c>
      <c r="F58" s="360" t="s">
        <v>71</v>
      </c>
      <c r="G58" s="352" t="s">
        <v>89</v>
      </c>
      <c r="H58" s="352" t="s">
        <v>71</v>
      </c>
      <c r="I58" s="352"/>
      <c r="J58" s="357" t="s">
        <v>135</v>
      </c>
      <c r="K58" s="370"/>
      <c r="L58" s="370"/>
      <c r="M58" s="370"/>
      <c r="N58" s="370"/>
      <c r="O58" s="370"/>
      <c r="P58" s="370"/>
      <c r="Q58" s="370"/>
      <c r="R58" s="370"/>
      <c r="S58" s="370"/>
      <c r="T58" s="370"/>
      <c r="U58" s="359"/>
      <c r="V58" s="351"/>
      <c r="W58" s="360"/>
      <c r="X58" s="360"/>
      <c r="Y58" s="332"/>
    </row>
    <row r="59" spans="1:25" ht="22.5" customHeight="1" thickTop="1" thickBot="1">
      <c r="A59" s="360" t="s">
        <v>67</v>
      </c>
      <c r="B59" s="360" t="s">
        <v>71</v>
      </c>
      <c r="C59" s="352" t="s">
        <v>71</v>
      </c>
      <c r="D59" s="352" t="s">
        <v>71</v>
      </c>
      <c r="E59" s="360" t="s">
        <v>71</v>
      </c>
      <c r="F59" s="360" t="s">
        <v>71</v>
      </c>
      <c r="G59" s="352" t="s">
        <v>89</v>
      </c>
      <c r="H59" s="352" t="s">
        <v>85</v>
      </c>
      <c r="I59" s="352"/>
      <c r="J59" s="357" t="s">
        <v>136</v>
      </c>
      <c r="K59" s="370"/>
      <c r="L59" s="370"/>
      <c r="M59" s="370"/>
      <c r="N59" s="370"/>
      <c r="O59" s="370"/>
      <c r="P59" s="370"/>
      <c r="Q59" s="370"/>
      <c r="R59" s="370"/>
      <c r="S59" s="370"/>
      <c r="T59" s="370"/>
      <c r="U59" s="359"/>
      <c r="V59" s="351"/>
      <c r="W59" s="360"/>
      <c r="X59" s="360"/>
      <c r="Y59" s="332"/>
    </row>
    <row r="60" spans="1:25" ht="22.5" customHeight="1" thickTop="1" thickBot="1">
      <c r="A60" s="360" t="s">
        <v>67</v>
      </c>
      <c r="B60" s="360" t="s">
        <v>71</v>
      </c>
      <c r="C60" s="352" t="s">
        <v>71</v>
      </c>
      <c r="D60" s="352" t="s">
        <v>71</v>
      </c>
      <c r="E60" s="360" t="s">
        <v>71</v>
      </c>
      <c r="F60" s="360" t="s">
        <v>71</v>
      </c>
      <c r="G60" s="352" t="s">
        <v>89</v>
      </c>
      <c r="H60" s="352" t="s">
        <v>87</v>
      </c>
      <c r="I60" s="352"/>
      <c r="J60" s="357" t="s">
        <v>137</v>
      </c>
      <c r="K60" s="370"/>
      <c r="L60" s="370"/>
      <c r="M60" s="370"/>
      <c r="N60" s="370"/>
      <c r="O60" s="370"/>
      <c r="P60" s="370"/>
      <c r="Q60" s="370"/>
      <c r="R60" s="370"/>
      <c r="S60" s="370"/>
      <c r="T60" s="370"/>
      <c r="U60" s="359"/>
      <c r="V60" s="351"/>
      <c r="W60" s="360"/>
      <c r="X60" s="360"/>
      <c r="Y60" s="332"/>
    </row>
    <row r="61" spans="1:25" ht="22.5" customHeight="1" thickTop="1" thickBot="1">
      <c r="A61" s="360" t="s">
        <v>67</v>
      </c>
      <c r="B61" s="360" t="s">
        <v>71</v>
      </c>
      <c r="C61" s="352" t="s">
        <v>71</v>
      </c>
      <c r="D61" s="352" t="s">
        <v>71</v>
      </c>
      <c r="E61" s="360" t="s">
        <v>71</v>
      </c>
      <c r="F61" s="360" t="s">
        <v>71</v>
      </c>
      <c r="G61" s="352" t="s">
        <v>89</v>
      </c>
      <c r="H61" s="352" t="s">
        <v>89</v>
      </c>
      <c r="I61" s="352"/>
      <c r="J61" s="357" t="s">
        <v>138</v>
      </c>
      <c r="K61" s="370"/>
      <c r="L61" s="370"/>
      <c r="M61" s="370"/>
      <c r="N61" s="370"/>
      <c r="O61" s="370"/>
      <c r="P61" s="370"/>
      <c r="Q61" s="370"/>
      <c r="R61" s="370"/>
      <c r="S61" s="370"/>
      <c r="T61" s="370"/>
      <c r="U61" s="359"/>
      <c r="V61" s="351"/>
      <c r="W61" s="360"/>
      <c r="X61" s="360"/>
      <c r="Y61" s="332"/>
    </row>
    <row r="62" spans="1:25" ht="22.5" customHeight="1" thickTop="1" thickBot="1">
      <c r="A62" s="360" t="s">
        <v>67</v>
      </c>
      <c r="B62" s="360" t="s">
        <v>71</v>
      </c>
      <c r="C62" s="352" t="s">
        <v>71</v>
      </c>
      <c r="D62" s="352" t="s">
        <v>71</v>
      </c>
      <c r="E62" s="360" t="s">
        <v>71</v>
      </c>
      <c r="F62" s="360" t="s">
        <v>71</v>
      </c>
      <c r="G62" s="352" t="s">
        <v>89</v>
      </c>
      <c r="H62" s="352" t="s">
        <v>91</v>
      </c>
      <c r="I62" s="352"/>
      <c r="J62" s="357" t="s">
        <v>139</v>
      </c>
      <c r="K62" s="370"/>
      <c r="L62" s="370"/>
      <c r="M62" s="370"/>
      <c r="N62" s="370"/>
      <c r="O62" s="370"/>
      <c r="P62" s="370"/>
      <c r="Q62" s="370"/>
      <c r="R62" s="370"/>
      <c r="S62" s="370"/>
      <c r="T62" s="370"/>
      <c r="U62" s="359"/>
      <c r="V62" s="351"/>
      <c r="W62" s="360"/>
      <c r="X62" s="360"/>
      <c r="Y62" s="332"/>
    </row>
    <row r="63" spans="1:25" ht="22.5" customHeight="1" thickTop="1" thickBot="1">
      <c r="A63" s="360" t="s">
        <v>67</v>
      </c>
      <c r="B63" s="360" t="s">
        <v>71</v>
      </c>
      <c r="C63" s="352" t="s">
        <v>71</v>
      </c>
      <c r="D63" s="352" t="s">
        <v>71</v>
      </c>
      <c r="E63" s="360" t="s">
        <v>71</v>
      </c>
      <c r="F63" s="360" t="s">
        <v>71</v>
      </c>
      <c r="G63" s="352" t="s">
        <v>89</v>
      </c>
      <c r="H63" s="352" t="s">
        <v>93</v>
      </c>
      <c r="I63" s="352"/>
      <c r="J63" s="357" t="s">
        <v>140</v>
      </c>
      <c r="K63" s="370"/>
      <c r="L63" s="370"/>
      <c r="M63" s="370"/>
      <c r="N63" s="370"/>
      <c r="O63" s="370"/>
      <c r="P63" s="370"/>
      <c r="Q63" s="370"/>
      <c r="R63" s="370"/>
      <c r="S63" s="370"/>
      <c r="T63" s="370"/>
      <c r="U63" s="359"/>
      <c r="V63" s="351"/>
      <c r="W63" s="360"/>
      <c r="X63" s="360"/>
      <c r="Y63" s="332"/>
    </row>
    <row r="64" spans="1:25" ht="22.5" customHeight="1" thickTop="1" thickBot="1">
      <c r="A64" s="360" t="s">
        <v>67</v>
      </c>
      <c r="B64" s="360" t="s">
        <v>71</v>
      </c>
      <c r="C64" s="352" t="s">
        <v>71</v>
      </c>
      <c r="D64" s="352" t="s">
        <v>71</v>
      </c>
      <c r="E64" s="360" t="s">
        <v>71</v>
      </c>
      <c r="F64" s="360" t="s">
        <v>71</v>
      </c>
      <c r="G64" s="352" t="s">
        <v>89</v>
      </c>
      <c r="H64" s="352" t="s">
        <v>95</v>
      </c>
      <c r="I64" s="352"/>
      <c r="J64" s="357" t="s">
        <v>141</v>
      </c>
      <c r="K64" s="370"/>
      <c r="L64" s="370"/>
      <c r="M64" s="370"/>
      <c r="N64" s="370"/>
      <c r="O64" s="370"/>
      <c r="P64" s="370"/>
      <c r="Q64" s="370"/>
      <c r="R64" s="370"/>
      <c r="S64" s="370"/>
      <c r="T64" s="370"/>
      <c r="U64" s="359"/>
      <c r="V64" s="351"/>
      <c r="W64" s="360"/>
      <c r="X64" s="360"/>
      <c r="Y64" s="332"/>
    </row>
    <row r="65" spans="1:25" ht="22.5" customHeight="1" thickTop="1" thickBot="1">
      <c r="A65" s="360" t="s">
        <v>67</v>
      </c>
      <c r="B65" s="360" t="s">
        <v>71</v>
      </c>
      <c r="C65" s="352" t="s">
        <v>71</v>
      </c>
      <c r="D65" s="352" t="s">
        <v>71</v>
      </c>
      <c r="E65" s="360" t="s">
        <v>71</v>
      </c>
      <c r="F65" s="360" t="s">
        <v>71</v>
      </c>
      <c r="G65" s="352" t="s">
        <v>89</v>
      </c>
      <c r="H65" s="352" t="s">
        <v>97</v>
      </c>
      <c r="I65" s="352"/>
      <c r="J65" s="357" t="s">
        <v>138</v>
      </c>
      <c r="K65" s="370"/>
      <c r="L65" s="370"/>
      <c r="M65" s="370"/>
      <c r="N65" s="370"/>
      <c r="O65" s="370"/>
      <c r="P65" s="370"/>
      <c r="Q65" s="370"/>
      <c r="R65" s="370"/>
      <c r="S65" s="370"/>
      <c r="T65" s="370"/>
      <c r="U65" s="359"/>
      <c r="V65" s="351"/>
      <c r="W65" s="360"/>
      <c r="X65" s="360"/>
      <c r="Y65" s="332"/>
    </row>
    <row r="66" spans="1:25" ht="22.5" customHeight="1" thickTop="1" thickBot="1">
      <c r="A66" s="339" t="s">
        <v>67</v>
      </c>
      <c r="B66" s="340" t="s">
        <v>71</v>
      </c>
      <c r="C66" s="340" t="s">
        <v>85</v>
      </c>
      <c r="D66" s="340"/>
      <c r="E66" s="340"/>
      <c r="F66" s="341"/>
      <c r="G66" s="341"/>
      <c r="H66" s="341"/>
      <c r="I66" s="341"/>
      <c r="J66" s="342" t="s">
        <v>142</v>
      </c>
      <c r="K66" s="343"/>
      <c r="L66" s="343"/>
      <c r="M66" s="343"/>
      <c r="N66" s="343"/>
      <c r="O66" s="343"/>
      <c r="P66" s="343"/>
      <c r="Q66" s="343"/>
      <c r="R66" s="343"/>
      <c r="S66" s="343"/>
      <c r="T66" s="343"/>
      <c r="U66" s="344"/>
      <c r="V66" s="339"/>
      <c r="W66" s="339" t="s">
        <v>143</v>
      </c>
      <c r="X66" s="339" t="s">
        <v>144</v>
      </c>
      <c r="Y66" s="332" t="s">
        <v>70</v>
      </c>
    </row>
    <row r="67" spans="1:25" ht="22.5" customHeight="1" thickTop="1" thickBot="1">
      <c r="A67" s="345" t="s">
        <v>67</v>
      </c>
      <c r="B67" s="346" t="s">
        <v>71</v>
      </c>
      <c r="C67" s="346" t="s">
        <v>85</v>
      </c>
      <c r="D67" s="346" t="s">
        <v>71</v>
      </c>
      <c r="E67" s="346"/>
      <c r="F67" s="347"/>
      <c r="G67" s="347"/>
      <c r="H67" s="347"/>
      <c r="I67" s="347"/>
      <c r="J67" s="348" t="s">
        <v>145</v>
      </c>
      <c r="K67" s="349"/>
      <c r="L67" s="349"/>
      <c r="M67" s="349"/>
      <c r="N67" s="349"/>
      <c r="O67" s="349"/>
      <c r="P67" s="349"/>
      <c r="Q67" s="349"/>
      <c r="R67" s="349"/>
      <c r="S67" s="349"/>
      <c r="T67" s="349"/>
      <c r="U67" s="350"/>
      <c r="V67" s="346"/>
      <c r="W67" s="345" t="s">
        <v>146</v>
      </c>
      <c r="X67" s="345" t="s">
        <v>147</v>
      </c>
      <c r="Y67" s="332" t="s">
        <v>70</v>
      </c>
    </row>
    <row r="68" spans="1:25" ht="22.5" customHeight="1" thickTop="1" thickBot="1">
      <c r="A68" s="356" t="s">
        <v>67</v>
      </c>
      <c r="B68" s="356" t="s">
        <v>71</v>
      </c>
      <c r="C68" s="351" t="s">
        <v>85</v>
      </c>
      <c r="D68" s="356" t="s">
        <v>71</v>
      </c>
      <c r="E68" s="351" t="s">
        <v>71</v>
      </c>
      <c r="F68" s="352"/>
      <c r="G68" s="352"/>
      <c r="H68" s="352"/>
      <c r="I68" s="352"/>
      <c r="J68" s="353" t="s">
        <v>148</v>
      </c>
      <c r="K68" s="354"/>
      <c r="L68" s="354"/>
      <c r="M68" s="354"/>
      <c r="N68" s="354"/>
      <c r="O68" s="354"/>
      <c r="P68" s="354"/>
      <c r="Q68" s="354"/>
      <c r="R68" s="354"/>
      <c r="S68" s="354"/>
      <c r="T68" s="354"/>
      <c r="U68" s="355"/>
      <c r="V68" s="360"/>
      <c r="W68" s="360" t="s">
        <v>149</v>
      </c>
      <c r="X68" s="360" t="s">
        <v>70</v>
      </c>
      <c r="Y68" s="332" t="s">
        <v>70</v>
      </c>
    </row>
    <row r="69" spans="1:25" ht="22.5" customHeight="1" thickTop="1" thickBot="1">
      <c r="A69" s="360" t="s">
        <v>67</v>
      </c>
      <c r="B69" s="360" t="s">
        <v>71</v>
      </c>
      <c r="C69" s="352" t="s">
        <v>85</v>
      </c>
      <c r="D69" s="360" t="s">
        <v>71</v>
      </c>
      <c r="E69" s="360" t="s">
        <v>71</v>
      </c>
      <c r="F69" s="351" t="s">
        <v>71</v>
      </c>
      <c r="G69" s="352"/>
      <c r="H69" s="352"/>
      <c r="I69" s="352"/>
      <c r="J69" s="353" t="s">
        <v>150</v>
      </c>
      <c r="K69" s="354"/>
      <c r="L69" s="354"/>
      <c r="M69" s="354"/>
      <c r="N69" s="354"/>
      <c r="O69" s="354"/>
      <c r="P69" s="354"/>
      <c r="Q69" s="354"/>
      <c r="R69" s="354"/>
      <c r="S69" s="354"/>
      <c r="T69" s="354"/>
      <c r="U69" s="355"/>
      <c r="V69" s="360"/>
      <c r="W69" s="360" t="s">
        <v>151</v>
      </c>
      <c r="X69" s="360" t="s">
        <v>152</v>
      </c>
      <c r="Y69" s="332" t="s">
        <v>70</v>
      </c>
    </row>
    <row r="70" spans="1:25" ht="22.5" customHeight="1" thickTop="1" thickBot="1">
      <c r="A70" s="360" t="s">
        <v>67</v>
      </c>
      <c r="B70" s="360" t="s">
        <v>71</v>
      </c>
      <c r="C70" s="352" t="s">
        <v>85</v>
      </c>
      <c r="D70" s="360" t="s">
        <v>71</v>
      </c>
      <c r="E70" s="360" t="s">
        <v>71</v>
      </c>
      <c r="F70" s="360" t="s">
        <v>71</v>
      </c>
      <c r="G70" s="351" t="s">
        <v>71</v>
      </c>
      <c r="H70" s="352"/>
      <c r="I70" s="352"/>
      <c r="J70" s="353" t="s">
        <v>153</v>
      </c>
      <c r="K70" s="354"/>
      <c r="L70" s="354"/>
      <c r="M70" s="354"/>
      <c r="N70" s="354"/>
      <c r="O70" s="354"/>
      <c r="P70" s="354"/>
      <c r="Q70" s="354"/>
      <c r="R70" s="354"/>
      <c r="S70" s="354"/>
      <c r="T70" s="354"/>
      <c r="U70" s="355"/>
      <c r="V70" s="360"/>
      <c r="W70" s="360"/>
      <c r="X70" s="360"/>
      <c r="Y70" s="332" t="s">
        <v>70</v>
      </c>
    </row>
    <row r="71" spans="1:25" ht="22.5" customHeight="1" thickTop="1" thickBot="1">
      <c r="A71" s="360" t="s">
        <v>67</v>
      </c>
      <c r="B71" s="360" t="s">
        <v>71</v>
      </c>
      <c r="C71" s="352" t="s">
        <v>85</v>
      </c>
      <c r="D71" s="360" t="s">
        <v>71</v>
      </c>
      <c r="E71" s="360" t="s">
        <v>71</v>
      </c>
      <c r="F71" s="360" t="s">
        <v>71</v>
      </c>
      <c r="G71" s="360" t="s">
        <v>71</v>
      </c>
      <c r="H71" s="360" t="s">
        <v>71</v>
      </c>
      <c r="I71" s="352"/>
      <c r="J71" s="357" t="s">
        <v>154</v>
      </c>
      <c r="K71" s="358"/>
      <c r="L71" s="358"/>
      <c r="M71" s="358"/>
      <c r="N71" s="358"/>
      <c r="O71" s="358"/>
      <c r="P71" s="358"/>
      <c r="Q71" s="358"/>
      <c r="R71" s="358"/>
      <c r="S71" s="358"/>
      <c r="T71" s="358"/>
      <c r="U71" s="359"/>
      <c r="V71" s="360"/>
      <c r="W71" s="360"/>
      <c r="X71" s="360"/>
      <c r="Y71" s="332" t="s">
        <v>70</v>
      </c>
    </row>
    <row r="72" spans="1:25" ht="22.5" customHeight="1" thickTop="1" thickBot="1">
      <c r="A72" s="360" t="s">
        <v>67</v>
      </c>
      <c r="B72" s="360" t="s">
        <v>71</v>
      </c>
      <c r="C72" s="352" t="s">
        <v>85</v>
      </c>
      <c r="D72" s="360" t="s">
        <v>71</v>
      </c>
      <c r="E72" s="360" t="s">
        <v>71</v>
      </c>
      <c r="F72" s="360" t="s">
        <v>71</v>
      </c>
      <c r="G72" s="360" t="s">
        <v>71</v>
      </c>
      <c r="H72" s="352" t="s">
        <v>85</v>
      </c>
      <c r="I72" s="352"/>
      <c r="J72" s="357" t="s">
        <v>155</v>
      </c>
      <c r="K72" s="358"/>
      <c r="L72" s="358"/>
      <c r="M72" s="358"/>
      <c r="N72" s="358"/>
      <c r="O72" s="358"/>
      <c r="P72" s="358"/>
      <c r="Q72" s="358"/>
      <c r="R72" s="358"/>
      <c r="S72" s="358"/>
      <c r="T72" s="358"/>
      <c r="U72" s="359"/>
      <c r="V72" s="360"/>
      <c r="W72" s="360"/>
      <c r="X72" s="360"/>
      <c r="Y72" s="332" t="s">
        <v>70</v>
      </c>
    </row>
    <row r="73" spans="1:25" ht="22.5" customHeight="1" thickTop="1" thickBot="1">
      <c r="A73" s="360" t="s">
        <v>67</v>
      </c>
      <c r="B73" s="360" t="s">
        <v>71</v>
      </c>
      <c r="C73" s="352" t="s">
        <v>85</v>
      </c>
      <c r="D73" s="360" t="s">
        <v>71</v>
      </c>
      <c r="E73" s="360" t="s">
        <v>71</v>
      </c>
      <c r="F73" s="360" t="s">
        <v>71</v>
      </c>
      <c r="G73" s="351" t="s">
        <v>85</v>
      </c>
      <c r="H73" s="352"/>
      <c r="I73" s="352"/>
      <c r="J73" s="353" t="s">
        <v>156</v>
      </c>
      <c r="K73" s="354"/>
      <c r="L73" s="354"/>
      <c r="M73" s="354"/>
      <c r="N73" s="354"/>
      <c r="O73" s="354"/>
      <c r="P73" s="354"/>
      <c r="Q73" s="354"/>
      <c r="R73" s="354"/>
      <c r="S73" s="354"/>
      <c r="T73" s="354"/>
      <c r="U73" s="355"/>
      <c r="V73" s="360"/>
      <c r="W73" s="360"/>
      <c r="X73" s="360"/>
      <c r="Y73" s="332" t="s">
        <v>70</v>
      </c>
    </row>
    <row r="74" spans="1:25" ht="22.5" customHeight="1" thickTop="1" thickBot="1">
      <c r="A74" s="360" t="s">
        <v>67</v>
      </c>
      <c r="B74" s="360" t="s">
        <v>71</v>
      </c>
      <c r="C74" s="352" t="s">
        <v>85</v>
      </c>
      <c r="D74" s="360" t="s">
        <v>71</v>
      </c>
      <c r="E74" s="360" t="s">
        <v>71</v>
      </c>
      <c r="F74" s="360" t="s">
        <v>71</v>
      </c>
      <c r="G74" s="352" t="s">
        <v>85</v>
      </c>
      <c r="H74" s="352" t="s">
        <v>71</v>
      </c>
      <c r="I74" s="352"/>
      <c r="J74" s="357" t="s">
        <v>157</v>
      </c>
      <c r="K74" s="358"/>
      <c r="L74" s="358"/>
      <c r="M74" s="358"/>
      <c r="N74" s="358"/>
      <c r="O74" s="358"/>
      <c r="P74" s="358"/>
      <c r="Q74" s="358"/>
      <c r="R74" s="358"/>
      <c r="S74" s="358"/>
      <c r="T74" s="358"/>
      <c r="U74" s="359"/>
      <c r="V74" s="360"/>
      <c r="W74" s="360"/>
      <c r="X74" s="360"/>
      <c r="Y74" s="332" t="s">
        <v>70</v>
      </c>
    </row>
    <row r="75" spans="1:25" ht="22.5" customHeight="1" thickTop="1" thickBot="1">
      <c r="A75" s="360" t="s">
        <v>67</v>
      </c>
      <c r="B75" s="360" t="s">
        <v>71</v>
      </c>
      <c r="C75" s="352" t="s">
        <v>85</v>
      </c>
      <c r="D75" s="360" t="s">
        <v>71</v>
      </c>
      <c r="E75" s="360" t="s">
        <v>71</v>
      </c>
      <c r="F75" s="360" t="s">
        <v>71</v>
      </c>
      <c r="G75" s="352" t="s">
        <v>85</v>
      </c>
      <c r="H75" s="352" t="s">
        <v>85</v>
      </c>
      <c r="I75" s="352"/>
      <c r="J75" s="357" t="s">
        <v>158</v>
      </c>
      <c r="K75" s="358"/>
      <c r="L75" s="358"/>
      <c r="M75" s="358"/>
      <c r="N75" s="358"/>
      <c r="O75" s="358"/>
      <c r="P75" s="358"/>
      <c r="Q75" s="358"/>
      <c r="R75" s="358"/>
      <c r="S75" s="358"/>
      <c r="T75" s="358"/>
      <c r="U75" s="359"/>
      <c r="V75" s="360"/>
      <c r="W75" s="360"/>
      <c r="X75" s="360"/>
      <c r="Y75" s="332" t="s">
        <v>70</v>
      </c>
    </row>
    <row r="76" spans="1:25" ht="22.5" customHeight="1" thickTop="1" thickBot="1">
      <c r="A76" s="360" t="s">
        <v>67</v>
      </c>
      <c r="B76" s="360" t="s">
        <v>71</v>
      </c>
      <c r="C76" s="352" t="s">
        <v>85</v>
      </c>
      <c r="D76" s="360" t="s">
        <v>71</v>
      </c>
      <c r="E76" s="360" t="s">
        <v>71</v>
      </c>
      <c r="F76" s="360" t="s">
        <v>71</v>
      </c>
      <c r="G76" s="351" t="s">
        <v>87</v>
      </c>
      <c r="H76" s="352"/>
      <c r="I76" s="352"/>
      <c r="J76" s="353" t="s">
        <v>159</v>
      </c>
      <c r="K76" s="354"/>
      <c r="L76" s="354"/>
      <c r="M76" s="354"/>
      <c r="N76" s="354"/>
      <c r="O76" s="354"/>
      <c r="P76" s="354"/>
      <c r="Q76" s="354"/>
      <c r="R76" s="354"/>
      <c r="S76" s="354"/>
      <c r="T76" s="354"/>
      <c r="U76" s="355"/>
      <c r="V76" s="360"/>
      <c r="W76" s="360"/>
      <c r="X76" s="360"/>
      <c r="Y76" s="332" t="s">
        <v>70</v>
      </c>
    </row>
    <row r="77" spans="1:25" ht="22.5" customHeight="1" thickTop="1" thickBot="1">
      <c r="A77" s="360" t="s">
        <v>67</v>
      </c>
      <c r="B77" s="360" t="s">
        <v>71</v>
      </c>
      <c r="C77" s="352" t="s">
        <v>85</v>
      </c>
      <c r="D77" s="360" t="s">
        <v>71</v>
      </c>
      <c r="E77" s="360" t="s">
        <v>71</v>
      </c>
      <c r="F77" s="360" t="s">
        <v>71</v>
      </c>
      <c r="G77" s="352" t="s">
        <v>87</v>
      </c>
      <c r="H77" s="352" t="s">
        <v>71</v>
      </c>
      <c r="I77" s="352"/>
      <c r="J77" s="357" t="s">
        <v>160</v>
      </c>
      <c r="K77" s="358"/>
      <c r="L77" s="358"/>
      <c r="M77" s="358"/>
      <c r="N77" s="358"/>
      <c r="O77" s="358"/>
      <c r="P77" s="358"/>
      <c r="Q77" s="358"/>
      <c r="R77" s="358"/>
      <c r="S77" s="358"/>
      <c r="T77" s="358"/>
      <c r="U77" s="359"/>
      <c r="V77" s="360"/>
      <c r="W77" s="360"/>
      <c r="X77" s="360"/>
      <c r="Y77" s="332" t="s">
        <v>70</v>
      </c>
    </row>
    <row r="78" spans="1:25" ht="22.5" customHeight="1" thickTop="1" thickBot="1">
      <c r="A78" s="360" t="s">
        <v>67</v>
      </c>
      <c r="B78" s="360" t="s">
        <v>71</v>
      </c>
      <c r="C78" s="352" t="s">
        <v>85</v>
      </c>
      <c r="D78" s="360" t="s">
        <v>71</v>
      </c>
      <c r="E78" s="360" t="s">
        <v>71</v>
      </c>
      <c r="F78" s="360" t="s">
        <v>71</v>
      </c>
      <c r="G78" s="352" t="s">
        <v>87</v>
      </c>
      <c r="H78" s="352" t="s">
        <v>85</v>
      </c>
      <c r="I78" s="352"/>
      <c r="J78" s="357" t="s">
        <v>161</v>
      </c>
      <c r="K78" s="358"/>
      <c r="L78" s="358"/>
      <c r="M78" s="358"/>
      <c r="N78" s="358"/>
      <c r="O78" s="358"/>
      <c r="P78" s="358"/>
      <c r="Q78" s="358"/>
      <c r="R78" s="358"/>
      <c r="S78" s="358"/>
      <c r="T78" s="358"/>
      <c r="U78" s="359"/>
      <c r="V78" s="360"/>
      <c r="W78" s="360"/>
      <c r="X78" s="360"/>
      <c r="Y78" s="332" t="s">
        <v>70</v>
      </c>
    </row>
    <row r="79" spans="1:25" ht="22.5" customHeight="1" thickTop="1" thickBot="1">
      <c r="A79" s="360" t="s">
        <v>67</v>
      </c>
      <c r="B79" s="360" t="s">
        <v>71</v>
      </c>
      <c r="C79" s="352" t="s">
        <v>85</v>
      </c>
      <c r="D79" s="360" t="s">
        <v>71</v>
      </c>
      <c r="E79" s="360" t="s">
        <v>71</v>
      </c>
      <c r="F79" s="360" t="s">
        <v>71</v>
      </c>
      <c r="G79" s="351" t="s">
        <v>89</v>
      </c>
      <c r="H79" s="352"/>
      <c r="I79" s="352"/>
      <c r="J79" s="353" t="s">
        <v>162</v>
      </c>
      <c r="K79" s="361"/>
      <c r="L79" s="361"/>
      <c r="M79" s="361"/>
      <c r="N79" s="361"/>
      <c r="O79" s="361"/>
      <c r="P79" s="361"/>
      <c r="Q79" s="361"/>
      <c r="R79" s="361"/>
      <c r="S79" s="361"/>
      <c r="T79" s="361"/>
      <c r="U79" s="362"/>
      <c r="V79" s="360"/>
      <c r="W79" s="360"/>
      <c r="X79" s="360"/>
      <c r="Y79" s="332" t="s">
        <v>70</v>
      </c>
    </row>
    <row r="80" spans="1:25" ht="22.5" customHeight="1" thickTop="1" thickBot="1">
      <c r="A80" s="360" t="s">
        <v>67</v>
      </c>
      <c r="B80" s="360" t="s">
        <v>71</v>
      </c>
      <c r="C80" s="352" t="s">
        <v>85</v>
      </c>
      <c r="D80" s="360" t="s">
        <v>71</v>
      </c>
      <c r="E80" s="360" t="s">
        <v>71</v>
      </c>
      <c r="F80" s="360" t="s">
        <v>71</v>
      </c>
      <c r="G80" s="352" t="s">
        <v>89</v>
      </c>
      <c r="H80" s="352" t="s">
        <v>71</v>
      </c>
      <c r="I80" s="352"/>
      <c r="J80" s="357" t="s">
        <v>163</v>
      </c>
      <c r="K80" s="363"/>
      <c r="L80" s="363"/>
      <c r="M80" s="363"/>
      <c r="N80" s="358"/>
      <c r="O80" s="363"/>
      <c r="P80" s="363"/>
      <c r="Q80" s="363"/>
      <c r="R80" s="363"/>
      <c r="S80" s="358"/>
      <c r="T80" s="363"/>
      <c r="U80" s="364"/>
      <c r="V80" s="360"/>
      <c r="W80" s="360"/>
      <c r="X80" s="360"/>
      <c r="Y80" s="332" t="s">
        <v>70</v>
      </c>
    </row>
    <row r="81" spans="1:25" ht="22.5" customHeight="1" thickTop="1" thickBot="1">
      <c r="A81" s="360" t="s">
        <v>67</v>
      </c>
      <c r="B81" s="360" t="s">
        <v>71</v>
      </c>
      <c r="C81" s="352" t="s">
        <v>85</v>
      </c>
      <c r="D81" s="360" t="s">
        <v>71</v>
      </c>
      <c r="E81" s="360" t="s">
        <v>71</v>
      </c>
      <c r="F81" s="360" t="s">
        <v>71</v>
      </c>
      <c r="G81" s="352" t="s">
        <v>89</v>
      </c>
      <c r="H81" s="352" t="s">
        <v>85</v>
      </c>
      <c r="I81" s="352"/>
      <c r="J81" s="357" t="s">
        <v>164</v>
      </c>
      <c r="K81" s="363"/>
      <c r="L81" s="363"/>
      <c r="M81" s="363"/>
      <c r="N81" s="358"/>
      <c r="O81" s="363"/>
      <c r="P81" s="363"/>
      <c r="Q81" s="363"/>
      <c r="R81" s="363"/>
      <c r="S81" s="358"/>
      <c r="T81" s="363"/>
      <c r="U81" s="364"/>
      <c r="V81" s="360"/>
      <c r="W81" s="360"/>
      <c r="X81" s="360"/>
      <c r="Y81" s="332" t="s">
        <v>70</v>
      </c>
    </row>
    <row r="82" spans="1:25" ht="22.5" customHeight="1" thickTop="1" thickBot="1">
      <c r="A82" s="345" t="s">
        <v>67</v>
      </c>
      <c r="B82" s="346" t="s">
        <v>71</v>
      </c>
      <c r="C82" s="346" t="s">
        <v>85</v>
      </c>
      <c r="D82" s="346" t="s">
        <v>85</v>
      </c>
      <c r="E82" s="346"/>
      <c r="F82" s="347"/>
      <c r="G82" s="347"/>
      <c r="H82" s="347"/>
      <c r="I82" s="347"/>
      <c r="J82" s="348" t="s">
        <v>165</v>
      </c>
      <c r="K82" s="349"/>
      <c r="L82" s="349"/>
      <c r="M82" s="349"/>
      <c r="N82" s="349"/>
      <c r="O82" s="349"/>
      <c r="P82" s="349"/>
      <c r="Q82" s="349"/>
      <c r="R82" s="349"/>
      <c r="S82" s="349"/>
      <c r="T82" s="349"/>
      <c r="U82" s="350"/>
      <c r="V82" s="346"/>
      <c r="W82" s="345"/>
      <c r="X82" s="345"/>
      <c r="Y82" s="332" t="s">
        <v>70</v>
      </c>
    </row>
    <row r="83" spans="1:25" ht="22.5" customHeight="1" thickTop="1" thickBot="1">
      <c r="A83" s="345">
        <v>1</v>
      </c>
      <c r="B83" s="346" t="s">
        <v>71</v>
      </c>
      <c r="C83" s="346" t="s">
        <v>85</v>
      </c>
      <c r="D83" s="346" t="s">
        <v>85</v>
      </c>
      <c r="E83" s="346" t="s">
        <v>71</v>
      </c>
      <c r="F83" s="347"/>
      <c r="G83" s="347"/>
      <c r="H83" s="347"/>
      <c r="I83" s="347"/>
      <c r="J83" s="348" t="s">
        <v>166</v>
      </c>
      <c r="K83" s="349"/>
      <c r="L83" s="349"/>
      <c r="M83" s="349"/>
      <c r="N83" s="349"/>
      <c r="O83" s="349"/>
      <c r="P83" s="349"/>
      <c r="Q83" s="349"/>
      <c r="R83" s="349"/>
      <c r="S83" s="349"/>
      <c r="T83" s="349"/>
      <c r="U83" s="350"/>
      <c r="V83" s="346"/>
      <c r="W83" s="345"/>
      <c r="X83" s="345"/>
      <c r="Y83" s="332"/>
    </row>
    <row r="84" spans="1:25" s="144" customFormat="1" ht="22.5" customHeight="1" thickTop="1" thickBot="1">
      <c r="A84" s="356" t="s">
        <v>67</v>
      </c>
      <c r="B84" s="356" t="s">
        <v>71</v>
      </c>
      <c r="C84" s="351" t="s">
        <v>85</v>
      </c>
      <c r="D84" s="351" t="s">
        <v>85</v>
      </c>
      <c r="E84" s="351" t="s">
        <v>71</v>
      </c>
      <c r="F84" s="351" t="s">
        <v>71</v>
      </c>
      <c r="G84" s="351"/>
      <c r="H84" s="352"/>
      <c r="I84" s="352"/>
      <c r="J84" s="353" t="s">
        <v>167</v>
      </c>
      <c r="K84" s="354"/>
      <c r="L84" s="354"/>
      <c r="M84" s="354"/>
      <c r="N84" s="354"/>
      <c r="O84" s="354"/>
      <c r="P84" s="354"/>
      <c r="Q84" s="354"/>
      <c r="R84" s="354"/>
      <c r="S84" s="354"/>
      <c r="T84" s="354"/>
      <c r="U84" s="355"/>
      <c r="V84" s="356"/>
      <c r="W84" s="356"/>
      <c r="X84" s="356"/>
      <c r="Y84" s="332" t="s">
        <v>70</v>
      </c>
    </row>
    <row r="85" spans="1:25" ht="22.5" customHeight="1" thickTop="1" thickBot="1">
      <c r="A85" s="360" t="s">
        <v>67</v>
      </c>
      <c r="B85" s="360" t="s">
        <v>71</v>
      </c>
      <c r="C85" s="352" t="s">
        <v>85</v>
      </c>
      <c r="D85" s="352" t="s">
        <v>85</v>
      </c>
      <c r="E85" s="360" t="s">
        <v>71</v>
      </c>
      <c r="F85" s="352" t="s">
        <v>71</v>
      </c>
      <c r="G85" s="351" t="s">
        <v>71</v>
      </c>
      <c r="H85" s="352"/>
      <c r="I85" s="352"/>
      <c r="J85" s="353" t="s">
        <v>168</v>
      </c>
      <c r="K85" s="358"/>
      <c r="L85" s="358"/>
      <c r="M85" s="358"/>
      <c r="N85" s="358"/>
      <c r="O85" s="358"/>
      <c r="P85" s="358"/>
      <c r="Q85" s="358"/>
      <c r="R85" s="358"/>
      <c r="S85" s="358"/>
      <c r="T85" s="358"/>
      <c r="U85" s="359"/>
      <c r="V85" s="360"/>
      <c r="W85" s="360" t="s">
        <v>169</v>
      </c>
      <c r="X85" s="360" t="s">
        <v>170</v>
      </c>
      <c r="Y85" s="365" t="s">
        <v>70</v>
      </c>
    </row>
    <row r="86" spans="1:25" ht="22.5" customHeight="1" thickTop="1" thickBot="1">
      <c r="A86" s="360" t="s">
        <v>67</v>
      </c>
      <c r="B86" s="360" t="s">
        <v>71</v>
      </c>
      <c r="C86" s="352" t="s">
        <v>85</v>
      </c>
      <c r="D86" s="352" t="s">
        <v>85</v>
      </c>
      <c r="E86" s="360" t="s">
        <v>71</v>
      </c>
      <c r="F86" s="360" t="s">
        <v>71</v>
      </c>
      <c r="G86" s="352" t="s">
        <v>71</v>
      </c>
      <c r="H86" s="352" t="s">
        <v>71</v>
      </c>
      <c r="I86" s="352"/>
      <c r="J86" s="357" t="s">
        <v>171</v>
      </c>
      <c r="K86" s="358"/>
      <c r="L86" s="358"/>
      <c r="M86" s="358"/>
      <c r="N86" s="358"/>
      <c r="O86" s="358"/>
      <c r="P86" s="358"/>
      <c r="Q86" s="358"/>
      <c r="R86" s="358"/>
      <c r="S86" s="358"/>
      <c r="T86" s="358"/>
      <c r="U86" s="359"/>
      <c r="V86" s="360"/>
      <c r="W86" s="360"/>
      <c r="X86" s="360"/>
      <c r="Y86" s="365" t="s">
        <v>70</v>
      </c>
    </row>
    <row r="87" spans="1:25" ht="22.5" customHeight="1" thickTop="1" thickBot="1">
      <c r="A87" s="360" t="s">
        <v>67</v>
      </c>
      <c r="B87" s="360" t="s">
        <v>71</v>
      </c>
      <c r="C87" s="352" t="s">
        <v>85</v>
      </c>
      <c r="D87" s="352" t="s">
        <v>85</v>
      </c>
      <c r="E87" s="360" t="s">
        <v>71</v>
      </c>
      <c r="F87" s="360" t="s">
        <v>71</v>
      </c>
      <c r="G87" s="352" t="s">
        <v>71</v>
      </c>
      <c r="H87" s="352" t="s">
        <v>85</v>
      </c>
      <c r="I87" s="352"/>
      <c r="J87" s="357" t="s">
        <v>172</v>
      </c>
      <c r="K87" s="358"/>
      <c r="L87" s="358"/>
      <c r="M87" s="358"/>
      <c r="N87" s="358"/>
      <c r="O87" s="358"/>
      <c r="P87" s="358"/>
      <c r="Q87" s="358"/>
      <c r="R87" s="358"/>
      <c r="S87" s="358"/>
      <c r="T87" s="358"/>
      <c r="U87" s="359"/>
      <c r="V87" s="360"/>
      <c r="W87" s="360"/>
      <c r="X87" s="360"/>
      <c r="Y87" s="365" t="s">
        <v>70</v>
      </c>
    </row>
    <row r="88" spans="1:25" ht="22.5" customHeight="1" thickTop="1" thickBot="1">
      <c r="A88" s="360" t="s">
        <v>67</v>
      </c>
      <c r="B88" s="360" t="s">
        <v>71</v>
      </c>
      <c r="C88" s="352" t="s">
        <v>85</v>
      </c>
      <c r="D88" s="352" t="s">
        <v>85</v>
      </c>
      <c r="E88" s="360" t="s">
        <v>71</v>
      </c>
      <c r="F88" s="360" t="s">
        <v>71</v>
      </c>
      <c r="G88" s="352" t="s">
        <v>71</v>
      </c>
      <c r="H88" s="352" t="s">
        <v>87</v>
      </c>
      <c r="I88" s="352"/>
      <c r="J88" s="357" t="s">
        <v>173</v>
      </c>
      <c r="K88" s="358"/>
      <c r="L88" s="358"/>
      <c r="M88" s="358"/>
      <c r="N88" s="358"/>
      <c r="O88" s="358"/>
      <c r="P88" s="358"/>
      <c r="Q88" s="358"/>
      <c r="R88" s="358"/>
      <c r="S88" s="358"/>
      <c r="T88" s="358"/>
      <c r="U88" s="359"/>
      <c r="V88" s="360"/>
      <c r="W88" s="360"/>
      <c r="X88" s="360"/>
      <c r="Y88" s="365"/>
    </row>
    <row r="89" spans="1:25" ht="22.5" customHeight="1" thickTop="1" thickBot="1">
      <c r="A89" s="360" t="s">
        <v>67</v>
      </c>
      <c r="B89" s="360" t="s">
        <v>71</v>
      </c>
      <c r="C89" s="352" t="s">
        <v>85</v>
      </c>
      <c r="D89" s="352" t="s">
        <v>85</v>
      </c>
      <c r="E89" s="360" t="s">
        <v>71</v>
      </c>
      <c r="F89" s="360" t="s">
        <v>71</v>
      </c>
      <c r="G89" s="352" t="s">
        <v>71</v>
      </c>
      <c r="H89" s="352" t="s">
        <v>89</v>
      </c>
      <c r="I89" s="352"/>
      <c r="J89" s="357" t="s">
        <v>174</v>
      </c>
      <c r="K89" s="358"/>
      <c r="L89" s="358"/>
      <c r="M89" s="358"/>
      <c r="N89" s="358"/>
      <c r="O89" s="358"/>
      <c r="P89" s="358"/>
      <c r="Q89" s="358"/>
      <c r="R89" s="358"/>
      <c r="S89" s="358"/>
      <c r="T89" s="358"/>
      <c r="U89" s="359"/>
      <c r="V89" s="360"/>
      <c r="W89" s="360"/>
      <c r="X89" s="360"/>
      <c r="Y89" s="365"/>
    </row>
    <row r="90" spans="1:25" ht="22.5" customHeight="1" thickTop="1" thickBot="1">
      <c r="A90" s="360" t="s">
        <v>67</v>
      </c>
      <c r="B90" s="360" t="s">
        <v>71</v>
      </c>
      <c r="C90" s="352" t="s">
        <v>85</v>
      </c>
      <c r="D90" s="352" t="s">
        <v>85</v>
      </c>
      <c r="E90" s="360" t="s">
        <v>71</v>
      </c>
      <c r="F90" s="360" t="s">
        <v>71</v>
      </c>
      <c r="G90" s="352" t="s">
        <v>71</v>
      </c>
      <c r="H90" s="352" t="s">
        <v>91</v>
      </c>
      <c r="I90" s="352"/>
      <c r="J90" s="357" t="s">
        <v>175</v>
      </c>
      <c r="K90" s="358"/>
      <c r="L90" s="358"/>
      <c r="M90" s="358"/>
      <c r="N90" s="358"/>
      <c r="O90" s="358"/>
      <c r="P90" s="358"/>
      <c r="Q90" s="358"/>
      <c r="R90" s="358"/>
      <c r="S90" s="358"/>
      <c r="T90" s="358"/>
      <c r="U90" s="359"/>
      <c r="V90" s="360"/>
      <c r="W90" s="360"/>
      <c r="X90" s="360"/>
      <c r="Y90" s="365"/>
    </row>
    <row r="91" spans="1:25" ht="22.5" customHeight="1" thickTop="1" thickBot="1">
      <c r="A91" s="360" t="s">
        <v>67</v>
      </c>
      <c r="B91" s="360" t="s">
        <v>71</v>
      </c>
      <c r="C91" s="352" t="s">
        <v>85</v>
      </c>
      <c r="D91" s="352" t="s">
        <v>85</v>
      </c>
      <c r="E91" s="360" t="s">
        <v>71</v>
      </c>
      <c r="F91" s="360" t="s">
        <v>71</v>
      </c>
      <c r="G91" s="352" t="s">
        <v>71</v>
      </c>
      <c r="H91" s="352" t="s">
        <v>93</v>
      </c>
      <c r="I91" s="352"/>
      <c r="J91" s="357" t="s">
        <v>176</v>
      </c>
      <c r="K91" s="358"/>
      <c r="L91" s="358"/>
      <c r="M91" s="358"/>
      <c r="N91" s="358"/>
      <c r="O91" s="358"/>
      <c r="P91" s="358"/>
      <c r="Q91" s="358"/>
      <c r="R91" s="358"/>
      <c r="S91" s="358"/>
      <c r="T91" s="358"/>
      <c r="U91" s="359"/>
      <c r="V91" s="360"/>
      <c r="W91" s="360"/>
      <c r="X91" s="360"/>
      <c r="Y91" s="365"/>
    </row>
    <row r="92" spans="1:25" ht="22.5" customHeight="1" thickTop="1" thickBot="1">
      <c r="A92" s="360" t="s">
        <v>67</v>
      </c>
      <c r="B92" s="360" t="s">
        <v>71</v>
      </c>
      <c r="C92" s="352" t="s">
        <v>85</v>
      </c>
      <c r="D92" s="352" t="s">
        <v>85</v>
      </c>
      <c r="E92" s="360" t="s">
        <v>71</v>
      </c>
      <c r="F92" s="360" t="s">
        <v>71</v>
      </c>
      <c r="G92" s="352" t="s">
        <v>71</v>
      </c>
      <c r="H92" s="352" t="s">
        <v>95</v>
      </c>
      <c r="I92" s="352"/>
      <c r="J92" s="357" t="s">
        <v>177</v>
      </c>
      <c r="K92" s="358"/>
      <c r="L92" s="358"/>
      <c r="M92" s="358"/>
      <c r="N92" s="358"/>
      <c r="O92" s="358"/>
      <c r="P92" s="358"/>
      <c r="Q92" s="358"/>
      <c r="R92" s="358"/>
      <c r="S92" s="358"/>
      <c r="T92" s="358"/>
      <c r="U92" s="359"/>
      <c r="V92" s="360"/>
      <c r="W92" s="360"/>
      <c r="X92" s="360"/>
      <c r="Y92" s="365"/>
    </row>
    <row r="93" spans="1:25" ht="22.5" customHeight="1" thickTop="1" thickBot="1">
      <c r="A93" s="360" t="s">
        <v>67</v>
      </c>
      <c r="B93" s="360" t="s">
        <v>71</v>
      </c>
      <c r="C93" s="352" t="s">
        <v>85</v>
      </c>
      <c r="D93" s="352" t="s">
        <v>85</v>
      </c>
      <c r="E93" s="360" t="s">
        <v>71</v>
      </c>
      <c r="F93" s="360" t="s">
        <v>71</v>
      </c>
      <c r="G93" s="352" t="s">
        <v>71</v>
      </c>
      <c r="H93" s="352" t="s">
        <v>97</v>
      </c>
      <c r="I93" s="352"/>
      <c r="J93" s="357" t="s">
        <v>174</v>
      </c>
      <c r="K93" s="358"/>
      <c r="L93" s="358"/>
      <c r="M93" s="358"/>
      <c r="N93" s="358"/>
      <c r="O93" s="358"/>
      <c r="P93" s="358"/>
      <c r="Q93" s="358"/>
      <c r="R93" s="358"/>
      <c r="S93" s="358"/>
      <c r="T93" s="358"/>
      <c r="U93" s="359"/>
      <c r="V93" s="360"/>
      <c r="W93" s="360"/>
      <c r="X93" s="360"/>
      <c r="Y93" s="365"/>
    </row>
    <row r="94" spans="1:25" ht="22.5" customHeight="1" thickTop="1" thickBot="1">
      <c r="A94" s="360" t="s">
        <v>67</v>
      </c>
      <c r="B94" s="360" t="s">
        <v>71</v>
      </c>
      <c r="C94" s="352" t="s">
        <v>85</v>
      </c>
      <c r="D94" s="352" t="s">
        <v>85</v>
      </c>
      <c r="E94" s="360" t="s">
        <v>71</v>
      </c>
      <c r="F94" s="360" t="s">
        <v>71</v>
      </c>
      <c r="G94" s="351" t="s">
        <v>85</v>
      </c>
      <c r="H94" s="352"/>
      <c r="I94" s="352"/>
      <c r="J94" s="353" t="s">
        <v>178</v>
      </c>
      <c r="K94" s="358"/>
      <c r="L94" s="358"/>
      <c r="M94" s="358"/>
      <c r="N94" s="358"/>
      <c r="O94" s="358"/>
      <c r="P94" s="358"/>
      <c r="Q94" s="358"/>
      <c r="R94" s="358"/>
      <c r="S94" s="358"/>
      <c r="T94" s="358"/>
      <c r="U94" s="359"/>
      <c r="V94" s="360"/>
      <c r="W94" s="360" t="s">
        <v>179</v>
      </c>
      <c r="X94" s="360" t="s">
        <v>180</v>
      </c>
      <c r="Y94" s="365" t="s">
        <v>70</v>
      </c>
    </row>
    <row r="95" spans="1:25" ht="22.5" customHeight="1" thickTop="1" thickBot="1">
      <c r="A95" s="360" t="s">
        <v>67</v>
      </c>
      <c r="B95" s="360" t="s">
        <v>71</v>
      </c>
      <c r="C95" s="352" t="s">
        <v>85</v>
      </c>
      <c r="D95" s="352" t="s">
        <v>85</v>
      </c>
      <c r="E95" s="360" t="s">
        <v>71</v>
      </c>
      <c r="F95" s="360" t="s">
        <v>71</v>
      </c>
      <c r="G95" s="352" t="s">
        <v>85</v>
      </c>
      <c r="H95" s="352" t="s">
        <v>71</v>
      </c>
      <c r="I95" s="352"/>
      <c r="J95" s="357" t="s">
        <v>181</v>
      </c>
      <c r="K95" s="358"/>
      <c r="L95" s="358"/>
      <c r="M95" s="358"/>
      <c r="N95" s="358"/>
      <c r="O95" s="358"/>
      <c r="P95" s="358"/>
      <c r="Q95" s="358"/>
      <c r="R95" s="358"/>
      <c r="S95" s="358"/>
      <c r="T95" s="358"/>
      <c r="U95" s="359"/>
      <c r="V95" s="360"/>
      <c r="W95" s="360"/>
      <c r="X95" s="360"/>
      <c r="Y95" s="365" t="s">
        <v>70</v>
      </c>
    </row>
    <row r="96" spans="1:25" ht="22.5" customHeight="1" thickTop="1" thickBot="1">
      <c r="A96" s="360" t="s">
        <v>67</v>
      </c>
      <c r="B96" s="360" t="s">
        <v>71</v>
      </c>
      <c r="C96" s="352" t="s">
        <v>85</v>
      </c>
      <c r="D96" s="352" t="s">
        <v>85</v>
      </c>
      <c r="E96" s="360" t="s">
        <v>71</v>
      </c>
      <c r="F96" s="360" t="s">
        <v>71</v>
      </c>
      <c r="G96" s="352" t="s">
        <v>85</v>
      </c>
      <c r="H96" s="352" t="s">
        <v>85</v>
      </c>
      <c r="I96" s="352"/>
      <c r="J96" s="357" t="s">
        <v>182</v>
      </c>
      <c r="K96" s="358"/>
      <c r="L96" s="358"/>
      <c r="M96" s="358"/>
      <c r="N96" s="358"/>
      <c r="O96" s="358"/>
      <c r="P96" s="358"/>
      <c r="Q96" s="358"/>
      <c r="R96" s="358"/>
      <c r="S96" s="358"/>
      <c r="T96" s="358"/>
      <c r="U96" s="359"/>
      <c r="V96" s="360"/>
      <c r="W96" s="360"/>
      <c r="X96" s="360"/>
      <c r="Y96" s="365" t="s">
        <v>70</v>
      </c>
    </row>
    <row r="97" spans="1:25" ht="22.5" customHeight="1" thickTop="1" thickBot="1">
      <c r="A97" s="360" t="s">
        <v>67</v>
      </c>
      <c r="B97" s="360" t="s">
        <v>71</v>
      </c>
      <c r="C97" s="352" t="s">
        <v>85</v>
      </c>
      <c r="D97" s="352" t="s">
        <v>85</v>
      </c>
      <c r="E97" s="360" t="s">
        <v>71</v>
      </c>
      <c r="F97" s="360" t="s">
        <v>71</v>
      </c>
      <c r="G97" s="352" t="s">
        <v>85</v>
      </c>
      <c r="H97" s="352" t="s">
        <v>87</v>
      </c>
      <c r="I97" s="352"/>
      <c r="J97" s="357" t="s">
        <v>183</v>
      </c>
      <c r="K97" s="358"/>
      <c r="L97" s="358"/>
      <c r="M97" s="358"/>
      <c r="N97" s="358"/>
      <c r="O97" s="358"/>
      <c r="P97" s="358"/>
      <c r="Q97" s="358"/>
      <c r="R97" s="358"/>
      <c r="S97" s="358"/>
      <c r="T97" s="358"/>
      <c r="U97" s="359"/>
      <c r="V97" s="360"/>
      <c r="W97" s="360"/>
      <c r="X97" s="360"/>
      <c r="Y97" s="365"/>
    </row>
    <row r="98" spans="1:25" ht="22.5" customHeight="1" thickTop="1" thickBot="1">
      <c r="A98" s="360" t="s">
        <v>67</v>
      </c>
      <c r="B98" s="360" t="s">
        <v>71</v>
      </c>
      <c r="C98" s="352" t="s">
        <v>85</v>
      </c>
      <c r="D98" s="352" t="s">
        <v>85</v>
      </c>
      <c r="E98" s="360" t="s">
        <v>71</v>
      </c>
      <c r="F98" s="360" t="s">
        <v>71</v>
      </c>
      <c r="G98" s="352" t="s">
        <v>85</v>
      </c>
      <c r="H98" s="352" t="s">
        <v>89</v>
      </c>
      <c r="I98" s="352"/>
      <c r="J98" s="357" t="s">
        <v>184</v>
      </c>
      <c r="K98" s="358"/>
      <c r="L98" s="358"/>
      <c r="M98" s="358"/>
      <c r="N98" s="358"/>
      <c r="O98" s="358"/>
      <c r="P98" s="358"/>
      <c r="Q98" s="358"/>
      <c r="R98" s="358"/>
      <c r="S98" s="358"/>
      <c r="T98" s="358"/>
      <c r="U98" s="359"/>
      <c r="V98" s="360"/>
      <c r="W98" s="360"/>
      <c r="X98" s="360"/>
      <c r="Y98" s="365"/>
    </row>
    <row r="99" spans="1:25" ht="22.5" customHeight="1" thickTop="1" thickBot="1">
      <c r="A99" s="360" t="s">
        <v>67</v>
      </c>
      <c r="B99" s="360" t="s">
        <v>71</v>
      </c>
      <c r="C99" s="352" t="s">
        <v>85</v>
      </c>
      <c r="D99" s="352" t="s">
        <v>85</v>
      </c>
      <c r="E99" s="360" t="s">
        <v>71</v>
      </c>
      <c r="F99" s="360" t="s">
        <v>71</v>
      </c>
      <c r="G99" s="352" t="s">
        <v>85</v>
      </c>
      <c r="H99" s="352" t="s">
        <v>91</v>
      </c>
      <c r="I99" s="352"/>
      <c r="J99" s="357" t="s">
        <v>185</v>
      </c>
      <c r="K99" s="358"/>
      <c r="L99" s="358"/>
      <c r="M99" s="358"/>
      <c r="N99" s="358"/>
      <c r="O99" s="358"/>
      <c r="P99" s="358"/>
      <c r="Q99" s="358"/>
      <c r="R99" s="358"/>
      <c r="S99" s="358"/>
      <c r="T99" s="358"/>
      <c r="U99" s="359"/>
      <c r="V99" s="360"/>
      <c r="W99" s="360"/>
      <c r="X99" s="360"/>
      <c r="Y99" s="365"/>
    </row>
    <row r="100" spans="1:25" ht="22.5" customHeight="1" thickTop="1" thickBot="1">
      <c r="A100" s="360" t="s">
        <v>67</v>
      </c>
      <c r="B100" s="360" t="s">
        <v>71</v>
      </c>
      <c r="C100" s="352" t="s">
        <v>85</v>
      </c>
      <c r="D100" s="352" t="s">
        <v>85</v>
      </c>
      <c r="E100" s="360" t="s">
        <v>71</v>
      </c>
      <c r="F100" s="360" t="s">
        <v>71</v>
      </c>
      <c r="G100" s="352" t="s">
        <v>85</v>
      </c>
      <c r="H100" s="352" t="s">
        <v>93</v>
      </c>
      <c r="I100" s="352"/>
      <c r="J100" s="357" t="s">
        <v>186</v>
      </c>
      <c r="K100" s="358"/>
      <c r="L100" s="358"/>
      <c r="M100" s="358"/>
      <c r="N100" s="358"/>
      <c r="O100" s="358"/>
      <c r="P100" s="358"/>
      <c r="Q100" s="358"/>
      <c r="R100" s="358"/>
      <c r="S100" s="358"/>
      <c r="T100" s="358"/>
      <c r="U100" s="359"/>
      <c r="V100" s="360"/>
      <c r="W100" s="360"/>
      <c r="X100" s="360"/>
      <c r="Y100" s="365"/>
    </row>
    <row r="101" spans="1:25" ht="22.5" customHeight="1" thickTop="1" thickBot="1">
      <c r="A101" s="360" t="s">
        <v>67</v>
      </c>
      <c r="B101" s="360" t="s">
        <v>71</v>
      </c>
      <c r="C101" s="352" t="s">
        <v>85</v>
      </c>
      <c r="D101" s="352" t="s">
        <v>85</v>
      </c>
      <c r="E101" s="360" t="s">
        <v>71</v>
      </c>
      <c r="F101" s="360" t="s">
        <v>71</v>
      </c>
      <c r="G101" s="352" t="s">
        <v>85</v>
      </c>
      <c r="H101" s="352" t="s">
        <v>95</v>
      </c>
      <c r="I101" s="352"/>
      <c r="J101" s="357" t="s">
        <v>187</v>
      </c>
      <c r="K101" s="358"/>
      <c r="L101" s="358"/>
      <c r="M101" s="358"/>
      <c r="N101" s="358"/>
      <c r="O101" s="358"/>
      <c r="P101" s="358"/>
      <c r="Q101" s="358"/>
      <c r="R101" s="358"/>
      <c r="S101" s="358"/>
      <c r="T101" s="358"/>
      <c r="U101" s="359"/>
      <c r="V101" s="360"/>
      <c r="W101" s="360"/>
      <c r="X101" s="360"/>
      <c r="Y101" s="365"/>
    </row>
    <row r="102" spans="1:25" ht="22.5" customHeight="1" thickTop="1" thickBot="1">
      <c r="A102" s="360" t="s">
        <v>67</v>
      </c>
      <c r="B102" s="360" t="s">
        <v>71</v>
      </c>
      <c r="C102" s="352" t="s">
        <v>85</v>
      </c>
      <c r="D102" s="352" t="s">
        <v>85</v>
      </c>
      <c r="E102" s="360" t="s">
        <v>71</v>
      </c>
      <c r="F102" s="360" t="s">
        <v>71</v>
      </c>
      <c r="G102" s="352" t="s">
        <v>85</v>
      </c>
      <c r="H102" s="352" t="s">
        <v>97</v>
      </c>
      <c r="I102" s="352"/>
      <c r="J102" s="357" t="s">
        <v>184</v>
      </c>
      <c r="K102" s="358"/>
      <c r="L102" s="358"/>
      <c r="M102" s="358"/>
      <c r="N102" s="358"/>
      <c r="O102" s="358"/>
      <c r="P102" s="358"/>
      <c r="Q102" s="358"/>
      <c r="R102" s="358"/>
      <c r="S102" s="358"/>
      <c r="T102" s="358"/>
      <c r="U102" s="359"/>
      <c r="V102" s="360"/>
      <c r="W102" s="360"/>
      <c r="X102" s="360"/>
      <c r="Y102" s="365"/>
    </row>
    <row r="103" spans="1:25" ht="22.5" customHeight="1" thickTop="1" thickBot="1">
      <c r="A103" s="360" t="s">
        <v>67</v>
      </c>
      <c r="B103" s="360" t="s">
        <v>71</v>
      </c>
      <c r="C103" s="352" t="s">
        <v>85</v>
      </c>
      <c r="D103" s="352" t="s">
        <v>85</v>
      </c>
      <c r="E103" s="360" t="s">
        <v>71</v>
      </c>
      <c r="F103" s="360" t="s">
        <v>71</v>
      </c>
      <c r="G103" s="351" t="s">
        <v>87</v>
      </c>
      <c r="H103" s="352"/>
      <c r="I103" s="352"/>
      <c r="J103" s="353" t="s">
        <v>188</v>
      </c>
      <c r="K103" s="358"/>
      <c r="L103" s="358"/>
      <c r="M103" s="358"/>
      <c r="N103" s="358"/>
      <c r="O103" s="358"/>
      <c r="P103" s="358"/>
      <c r="Q103" s="358"/>
      <c r="R103" s="358"/>
      <c r="S103" s="358"/>
      <c r="T103" s="358"/>
      <c r="U103" s="359"/>
      <c r="V103" s="360"/>
      <c r="W103" s="360"/>
      <c r="X103" s="360"/>
      <c r="Y103" s="365" t="s">
        <v>70</v>
      </c>
    </row>
    <row r="104" spans="1:25" ht="22.5" customHeight="1" thickTop="1" thickBot="1">
      <c r="A104" s="360" t="s">
        <v>67</v>
      </c>
      <c r="B104" s="360" t="s">
        <v>71</v>
      </c>
      <c r="C104" s="352" t="s">
        <v>85</v>
      </c>
      <c r="D104" s="352" t="s">
        <v>85</v>
      </c>
      <c r="E104" s="360" t="s">
        <v>71</v>
      </c>
      <c r="F104" s="360" t="s">
        <v>71</v>
      </c>
      <c r="G104" s="352" t="s">
        <v>87</v>
      </c>
      <c r="H104" s="352" t="s">
        <v>71</v>
      </c>
      <c r="I104" s="352"/>
      <c r="J104" s="357" t="s">
        <v>189</v>
      </c>
      <c r="K104" s="358"/>
      <c r="L104" s="358"/>
      <c r="M104" s="358"/>
      <c r="N104" s="358"/>
      <c r="O104" s="358"/>
      <c r="P104" s="358"/>
      <c r="Q104" s="358"/>
      <c r="R104" s="358"/>
      <c r="S104" s="358"/>
      <c r="T104" s="358"/>
      <c r="U104" s="359"/>
      <c r="V104" s="360"/>
      <c r="W104" s="360"/>
      <c r="X104" s="360"/>
      <c r="Y104" s="365" t="s">
        <v>70</v>
      </c>
    </row>
    <row r="105" spans="1:25" ht="22.5" customHeight="1" thickTop="1" thickBot="1">
      <c r="A105" s="360" t="s">
        <v>67</v>
      </c>
      <c r="B105" s="360" t="s">
        <v>71</v>
      </c>
      <c r="C105" s="352" t="s">
        <v>85</v>
      </c>
      <c r="D105" s="352" t="s">
        <v>85</v>
      </c>
      <c r="E105" s="360" t="s">
        <v>71</v>
      </c>
      <c r="F105" s="360" t="s">
        <v>71</v>
      </c>
      <c r="G105" s="352" t="s">
        <v>87</v>
      </c>
      <c r="H105" s="352" t="s">
        <v>85</v>
      </c>
      <c r="I105" s="352"/>
      <c r="J105" s="357" t="s">
        <v>190</v>
      </c>
      <c r="K105" s="358"/>
      <c r="L105" s="358"/>
      <c r="M105" s="358"/>
      <c r="N105" s="358"/>
      <c r="O105" s="358"/>
      <c r="P105" s="358"/>
      <c r="Q105" s="358"/>
      <c r="R105" s="358"/>
      <c r="S105" s="358"/>
      <c r="T105" s="358"/>
      <c r="U105" s="359"/>
      <c r="V105" s="360"/>
      <c r="W105" s="360"/>
      <c r="X105" s="360"/>
      <c r="Y105" s="365" t="s">
        <v>70</v>
      </c>
    </row>
    <row r="106" spans="1:25" ht="22.5" customHeight="1" thickTop="1" thickBot="1">
      <c r="A106" s="360" t="s">
        <v>67</v>
      </c>
      <c r="B106" s="360" t="s">
        <v>71</v>
      </c>
      <c r="C106" s="352" t="s">
        <v>85</v>
      </c>
      <c r="D106" s="352" t="s">
        <v>85</v>
      </c>
      <c r="E106" s="360" t="s">
        <v>71</v>
      </c>
      <c r="F106" s="360" t="s">
        <v>71</v>
      </c>
      <c r="G106" s="352" t="s">
        <v>87</v>
      </c>
      <c r="H106" s="352" t="s">
        <v>87</v>
      </c>
      <c r="I106" s="352"/>
      <c r="J106" s="357" t="s">
        <v>191</v>
      </c>
      <c r="K106" s="358"/>
      <c r="L106" s="358"/>
      <c r="M106" s="358"/>
      <c r="N106" s="358"/>
      <c r="O106" s="358"/>
      <c r="P106" s="358"/>
      <c r="Q106" s="358"/>
      <c r="R106" s="358"/>
      <c r="S106" s="358"/>
      <c r="T106" s="358"/>
      <c r="U106" s="359"/>
      <c r="V106" s="360"/>
      <c r="W106" s="360"/>
      <c r="X106" s="360"/>
      <c r="Y106" s="365"/>
    </row>
    <row r="107" spans="1:25" ht="22.5" customHeight="1" thickTop="1" thickBot="1">
      <c r="A107" s="360" t="s">
        <v>67</v>
      </c>
      <c r="B107" s="360" t="s">
        <v>71</v>
      </c>
      <c r="C107" s="352" t="s">
        <v>85</v>
      </c>
      <c r="D107" s="352" t="s">
        <v>85</v>
      </c>
      <c r="E107" s="360" t="s">
        <v>71</v>
      </c>
      <c r="F107" s="360" t="s">
        <v>71</v>
      </c>
      <c r="G107" s="352" t="s">
        <v>87</v>
      </c>
      <c r="H107" s="352" t="s">
        <v>89</v>
      </c>
      <c r="I107" s="352"/>
      <c r="J107" s="357" t="s">
        <v>192</v>
      </c>
      <c r="K107" s="358"/>
      <c r="L107" s="358"/>
      <c r="M107" s="358"/>
      <c r="N107" s="358"/>
      <c r="O107" s="358"/>
      <c r="P107" s="358"/>
      <c r="Q107" s="358"/>
      <c r="R107" s="358"/>
      <c r="S107" s="358"/>
      <c r="T107" s="358"/>
      <c r="U107" s="359"/>
      <c r="V107" s="360"/>
      <c r="W107" s="360"/>
      <c r="X107" s="360"/>
      <c r="Y107" s="365"/>
    </row>
    <row r="108" spans="1:25" ht="22.5" customHeight="1" thickTop="1" thickBot="1">
      <c r="A108" s="360" t="s">
        <v>67</v>
      </c>
      <c r="B108" s="360" t="s">
        <v>71</v>
      </c>
      <c r="C108" s="352" t="s">
        <v>85</v>
      </c>
      <c r="D108" s="352" t="s">
        <v>85</v>
      </c>
      <c r="E108" s="360" t="s">
        <v>71</v>
      </c>
      <c r="F108" s="360" t="s">
        <v>71</v>
      </c>
      <c r="G108" s="352" t="s">
        <v>87</v>
      </c>
      <c r="H108" s="352" t="s">
        <v>91</v>
      </c>
      <c r="I108" s="352"/>
      <c r="J108" s="357" t="s">
        <v>193</v>
      </c>
      <c r="K108" s="358"/>
      <c r="L108" s="358"/>
      <c r="M108" s="358"/>
      <c r="N108" s="358"/>
      <c r="O108" s="358"/>
      <c r="P108" s="358"/>
      <c r="Q108" s="358"/>
      <c r="R108" s="358"/>
      <c r="S108" s="358"/>
      <c r="T108" s="358"/>
      <c r="U108" s="359"/>
      <c r="V108" s="360"/>
      <c r="W108" s="360"/>
      <c r="X108" s="360"/>
      <c r="Y108" s="365"/>
    </row>
    <row r="109" spans="1:25" ht="22.5" customHeight="1" thickTop="1" thickBot="1">
      <c r="A109" s="360" t="s">
        <v>67</v>
      </c>
      <c r="B109" s="360" t="s">
        <v>71</v>
      </c>
      <c r="C109" s="352" t="s">
        <v>85</v>
      </c>
      <c r="D109" s="352" t="s">
        <v>85</v>
      </c>
      <c r="E109" s="360" t="s">
        <v>71</v>
      </c>
      <c r="F109" s="360" t="s">
        <v>71</v>
      </c>
      <c r="G109" s="352" t="s">
        <v>87</v>
      </c>
      <c r="H109" s="352" t="s">
        <v>93</v>
      </c>
      <c r="I109" s="352"/>
      <c r="J109" s="357" t="s">
        <v>194</v>
      </c>
      <c r="K109" s="358"/>
      <c r="L109" s="358"/>
      <c r="M109" s="358"/>
      <c r="N109" s="358"/>
      <c r="O109" s="358"/>
      <c r="P109" s="358"/>
      <c r="Q109" s="358"/>
      <c r="R109" s="358"/>
      <c r="S109" s="358"/>
      <c r="T109" s="358"/>
      <c r="U109" s="359"/>
      <c r="V109" s="360"/>
      <c r="W109" s="360"/>
      <c r="X109" s="360"/>
      <c r="Y109" s="365"/>
    </row>
    <row r="110" spans="1:25" ht="22.5" customHeight="1" thickTop="1" thickBot="1">
      <c r="A110" s="360" t="s">
        <v>67</v>
      </c>
      <c r="B110" s="360" t="s">
        <v>71</v>
      </c>
      <c r="C110" s="352" t="s">
        <v>85</v>
      </c>
      <c r="D110" s="352" t="s">
        <v>85</v>
      </c>
      <c r="E110" s="360" t="s">
        <v>71</v>
      </c>
      <c r="F110" s="360" t="s">
        <v>71</v>
      </c>
      <c r="G110" s="352" t="s">
        <v>87</v>
      </c>
      <c r="H110" s="352" t="s">
        <v>95</v>
      </c>
      <c r="I110" s="352"/>
      <c r="J110" s="357" t="s">
        <v>195</v>
      </c>
      <c r="K110" s="358"/>
      <c r="L110" s="358"/>
      <c r="M110" s="358"/>
      <c r="N110" s="358"/>
      <c r="O110" s="358"/>
      <c r="P110" s="358"/>
      <c r="Q110" s="358"/>
      <c r="R110" s="358"/>
      <c r="S110" s="358"/>
      <c r="T110" s="358"/>
      <c r="U110" s="359"/>
      <c r="V110" s="360"/>
      <c r="W110" s="360"/>
      <c r="X110" s="360"/>
      <c r="Y110" s="365"/>
    </row>
    <row r="111" spans="1:25" ht="22.5" customHeight="1" thickTop="1" thickBot="1">
      <c r="A111" s="360" t="s">
        <v>67</v>
      </c>
      <c r="B111" s="360" t="s">
        <v>71</v>
      </c>
      <c r="C111" s="352" t="s">
        <v>85</v>
      </c>
      <c r="D111" s="352" t="s">
        <v>85</v>
      </c>
      <c r="E111" s="360" t="s">
        <v>71</v>
      </c>
      <c r="F111" s="360" t="s">
        <v>71</v>
      </c>
      <c r="G111" s="352" t="s">
        <v>87</v>
      </c>
      <c r="H111" s="352" t="s">
        <v>97</v>
      </c>
      <c r="I111" s="352"/>
      <c r="J111" s="357" t="s">
        <v>192</v>
      </c>
      <c r="K111" s="358"/>
      <c r="L111" s="358"/>
      <c r="M111" s="358"/>
      <c r="N111" s="358"/>
      <c r="O111" s="358"/>
      <c r="P111" s="358"/>
      <c r="Q111" s="358"/>
      <c r="R111" s="358"/>
      <c r="S111" s="358"/>
      <c r="T111" s="358"/>
      <c r="U111" s="359"/>
      <c r="V111" s="360"/>
      <c r="W111" s="360"/>
      <c r="X111" s="360"/>
      <c r="Y111" s="365"/>
    </row>
    <row r="112" spans="1:25" ht="22.5" customHeight="1" thickTop="1" thickBot="1">
      <c r="A112" s="360" t="s">
        <v>67</v>
      </c>
      <c r="B112" s="360" t="s">
        <v>71</v>
      </c>
      <c r="C112" s="352" t="s">
        <v>85</v>
      </c>
      <c r="D112" s="352" t="s">
        <v>85</v>
      </c>
      <c r="E112" s="360" t="s">
        <v>71</v>
      </c>
      <c r="F112" s="360" t="s">
        <v>71</v>
      </c>
      <c r="G112" s="351" t="s">
        <v>89</v>
      </c>
      <c r="H112" s="352"/>
      <c r="I112" s="352"/>
      <c r="J112" s="353" t="s">
        <v>196</v>
      </c>
      <c r="K112" s="358"/>
      <c r="L112" s="358"/>
      <c r="M112" s="358"/>
      <c r="N112" s="358"/>
      <c r="O112" s="358"/>
      <c r="P112" s="358"/>
      <c r="Q112" s="358"/>
      <c r="R112" s="358"/>
      <c r="S112" s="358"/>
      <c r="T112" s="358"/>
      <c r="U112" s="359"/>
      <c r="V112" s="360"/>
      <c r="W112" s="360" t="s">
        <v>197</v>
      </c>
      <c r="X112" s="360" t="s">
        <v>198</v>
      </c>
      <c r="Y112" s="365" t="s">
        <v>70</v>
      </c>
    </row>
    <row r="113" spans="1:25" ht="22.5" customHeight="1" thickTop="1" thickBot="1">
      <c r="A113" s="360" t="s">
        <v>67</v>
      </c>
      <c r="B113" s="360" t="s">
        <v>71</v>
      </c>
      <c r="C113" s="352" t="s">
        <v>85</v>
      </c>
      <c r="D113" s="352" t="s">
        <v>85</v>
      </c>
      <c r="E113" s="360" t="s">
        <v>71</v>
      </c>
      <c r="F113" s="360" t="s">
        <v>71</v>
      </c>
      <c r="G113" s="352" t="s">
        <v>89</v>
      </c>
      <c r="H113" s="352" t="s">
        <v>71</v>
      </c>
      <c r="I113" s="352"/>
      <c r="J113" s="357" t="s">
        <v>199</v>
      </c>
      <c r="K113" s="358"/>
      <c r="L113" s="358"/>
      <c r="M113" s="358"/>
      <c r="N113" s="358"/>
      <c r="O113" s="358"/>
      <c r="P113" s="358"/>
      <c r="Q113" s="358"/>
      <c r="R113" s="358"/>
      <c r="S113" s="358"/>
      <c r="T113" s="358"/>
      <c r="U113" s="359"/>
      <c r="V113" s="360"/>
      <c r="W113" s="360"/>
      <c r="X113" s="360"/>
      <c r="Y113" s="365" t="s">
        <v>70</v>
      </c>
    </row>
    <row r="114" spans="1:25" ht="22.5" customHeight="1" thickTop="1" thickBot="1">
      <c r="A114" s="360" t="s">
        <v>67</v>
      </c>
      <c r="B114" s="360" t="s">
        <v>71</v>
      </c>
      <c r="C114" s="352" t="s">
        <v>85</v>
      </c>
      <c r="D114" s="352" t="s">
        <v>85</v>
      </c>
      <c r="E114" s="360" t="s">
        <v>71</v>
      </c>
      <c r="F114" s="360" t="s">
        <v>71</v>
      </c>
      <c r="G114" s="352" t="s">
        <v>89</v>
      </c>
      <c r="H114" s="352" t="s">
        <v>85</v>
      </c>
      <c r="I114" s="352"/>
      <c r="J114" s="357" t="s">
        <v>200</v>
      </c>
      <c r="K114" s="358"/>
      <c r="L114" s="358"/>
      <c r="M114" s="358"/>
      <c r="N114" s="358"/>
      <c r="O114" s="358"/>
      <c r="P114" s="358"/>
      <c r="Q114" s="358"/>
      <c r="R114" s="358"/>
      <c r="S114" s="358"/>
      <c r="T114" s="358"/>
      <c r="U114" s="359"/>
      <c r="V114" s="360"/>
      <c r="W114" s="360"/>
      <c r="X114" s="360"/>
      <c r="Y114" s="365" t="s">
        <v>70</v>
      </c>
    </row>
    <row r="115" spans="1:25" ht="22.5" customHeight="1" thickTop="1" thickBot="1">
      <c r="A115" s="360" t="s">
        <v>67</v>
      </c>
      <c r="B115" s="360" t="s">
        <v>71</v>
      </c>
      <c r="C115" s="352" t="s">
        <v>85</v>
      </c>
      <c r="D115" s="352" t="s">
        <v>85</v>
      </c>
      <c r="E115" s="360" t="s">
        <v>71</v>
      </c>
      <c r="F115" s="360" t="s">
        <v>71</v>
      </c>
      <c r="G115" s="352" t="s">
        <v>89</v>
      </c>
      <c r="H115" s="352" t="s">
        <v>87</v>
      </c>
      <c r="I115" s="352"/>
      <c r="J115" s="357" t="s">
        <v>201</v>
      </c>
      <c r="K115" s="358"/>
      <c r="L115" s="358"/>
      <c r="M115" s="358"/>
      <c r="N115" s="358"/>
      <c r="O115" s="358"/>
      <c r="P115" s="358"/>
      <c r="Q115" s="358"/>
      <c r="R115" s="358"/>
      <c r="S115" s="358"/>
      <c r="T115" s="358"/>
      <c r="U115" s="359"/>
      <c r="V115" s="360"/>
      <c r="W115" s="360"/>
      <c r="X115" s="360"/>
      <c r="Y115" s="365"/>
    </row>
    <row r="116" spans="1:25" ht="22.5" customHeight="1" thickTop="1" thickBot="1">
      <c r="A116" s="360" t="s">
        <v>67</v>
      </c>
      <c r="B116" s="360" t="s">
        <v>71</v>
      </c>
      <c r="C116" s="352" t="s">
        <v>85</v>
      </c>
      <c r="D116" s="352" t="s">
        <v>85</v>
      </c>
      <c r="E116" s="360" t="s">
        <v>71</v>
      </c>
      <c r="F116" s="360" t="s">
        <v>71</v>
      </c>
      <c r="G116" s="352" t="s">
        <v>89</v>
      </c>
      <c r="H116" s="352" t="s">
        <v>89</v>
      </c>
      <c r="I116" s="352"/>
      <c r="J116" s="357" t="s">
        <v>202</v>
      </c>
      <c r="K116" s="358"/>
      <c r="L116" s="358"/>
      <c r="M116" s="358"/>
      <c r="N116" s="358"/>
      <c r="O116" s="358"/>
      <c r="P116" s="358"/>
      <c r="Q116" s="358"/>
      <c r="R116" s="358"/>
      <c r="S116" s="358"/>
      <c r="T116" s="358"/>
      <c r="U116" s="359"/>
      <c r="V116" s="360"/>
      <c r="W116" s="360"/>
      <c r="X116" s="360"/>
      <c r="Y116" s="365"/>
    </row>
    <row r="117" spans="1:25" ht="22.5" customHeight="1" thickTop="1" thickBot="1">
      <c r="A117" s="360" t="s">
        <v>67</v>
      </c>
      <c r="B117" s="360" t="s">
        <v>71</v>
      </c>
      <c r="C117" s="352" t="s">
        <v>85</v>
      </c>
      <c r="D117" s="352" t="s">
        <v>85</v>
      </c>
      <c r="E117" s="360" t="s">
        <v>71</v>
      </c>
      <c r="F117" s="360" t="s">
        <v>71</v>
      </c>
      <c r="G117" s="352" t="s">
        <v>89</v>
      </c>
      <c r="H117" s="352" t="s">
        <v>91</v>
      </c>
      <c r="I117" s="352"/>
      <c r="J117" s="357" t="s">
        <v>203</v>
      </c>
      <c r="K117" s="358"/>
      <c r="L117" s="358"/>
      <c r="M117" s="358"/>
      <c r="N117" s="358"/>
      <c r="O117" s="358"/>
      <c r="P117" s="358"/>
      <c r="Q117" s="358"/>
      <c r="R117" s="358"/>
      <c r="S117" s="358"/>
      <c r="T117" s="358"/>
      <c r="U117" s="359"/>
      <c r="V117" s="360"/>
      <c r="W117" s="360"/>
      <c r="X117" s="360"/>
      <c r="Y117" s="365"/>
    </row>
    <row r="118" spans="1:25" ht="22.5" customHeight="1" thickTop="1" thickBot="1">
      <c r="A118" s="360" t="s">
        <v>67</v>
      </c>
      <c r="B118" s="360" t="s">
        <v>71</v>
      </c>
      <c r="C118" s="352" t="s">
        <v>85</v>
      </c>
      <c r="D118" s="352" t="s">
        <v>85</v>
      </c>
      <c r="E118" s="360" t="s">
        <v>71</v>
      </c>
      <c r="F118" s="360" t="s">
        <v>71</v>
      </c>
      <c r="G118" s="352" t="s">
        <v>89</v>
      </c>
      <c r="H118" s="352" t="s">
        <v>93</v>
      </c>
      <c r="I118" s="352"/>
      <c r="J118" s="357" t="s">
        <v>204</v>
      </c>
      <c r="K118" s="358"/>
      <c r="L118" s="358"/>
      <c r="M118" s="358"/>
      <c r="N118" s="358"/>
      <c r="O118" s="358"/>
      <c r="P118" s="358"/>
      <c r="Q118" s="358"/>
      <c r="R118" s="358"/>
      <c r="S118" s="358"/>
      <c r="T118" s="358"/>
      <c r="U118" s="359"/>
      <c r="V118" s="360"/>
      <c r="W118" s="360"/>
      <c r="X118" s="360"/>
      <c r="Y118" s="365"/>
    </row>
    <row r="119" spans="1:25" ht="22.5" customHeight="1" thickTop="1" thickBot="1">
      <c r="A119" s="360" t="s">
        <v>67</v>
      </c>
      <c r="B119" s="360" t="s">
        <v>71</v>
      </c>
      <c r="C119" s="352" t="s">
        <v>85</v>
      </c>
      <c r="D119" s="352" t="s">
        <v>85</v>
      </c>
      <c r="E119" s="360" t="s">
        <v>71</v>
      </c>
      <c r="F119" s="360" t="s">
        <v>71</v>
      </c>
      <c r="G119" s="352" t="s">
        <v>89</v>
      </c>
      <c r="H119" s="352" t="s">
        <v>95</v>
      </c>
      <c r="I119" s="352"/>
      <c r="J119" s="357" t="s">
        <v>205</v>
      </c>
      <c r="K119" s="358"/>
      <c r="L119" s="358"/>
      <c r="M119" s="358"/>
      <c r="N119" s="358"/>
      <c r="O119" s="358"/>
      <c r="P119" s="358"/>
      <c r="Q119" s="358"/>
      <c r="R119" s="358"/>
      <c r="S119" s="358"/>
      <c r="T119" s="358"/>
      <c r="U119" s="359"/>
      <c r="V119" s="360"/>
      <c r="W119" s="360"/>
      <c r="X119" s="360"/>
      <c r="Y119" s="365"/>
    </row>
    <row r="120" spans="1:25" ht="22.5" customHeight="1" thickTop="1" thickBot="1">
      <c r="A120" s="360" t="s">
        <v>67</v>
      </c>
      <c r="B120" s="360" t="s">
        <v>71</v>
      </c>
      <c r="C120" s="352" t="s">
        <v>85</v>
      </c>
      <c r="D120" s="352" t="s">
        <v>85</v>
      </c>
      <c r="E120" s="360" t="s">
        <v>71</v>
      </c>
      <c r="F120" s="360" t="s">
        <v>71</v>
      </c>
      <c r="G120" s="352" t="s">
        <v>89</v>
      </c>
      <c r="H120" s="352" t="s">
        <v>97</v>
      </c>
      <c r="I120" s="352"/>
      <c r="J120" s="357" t="s">
        <v>202</v>
      </c>
      <c r="K120" s="358"/>
      <c r="L120" s="358"/>
      <c r="M120" s="358"/>
      <c r="N120" s="358"/>
      <c r="O120" s="358"/>
      <c r="P120" s="358"/>
      <c r="Q120" s="358"/>
      <c r="R120" s="358"/>
      <c r="S120" s="358"/>
      <c r="T120" s="358"/>
      <c r="U120" s="359"/>
      <c r="V120" s="360"/>
      <c r="W120" s="360"/>
      <c r="X120" s="360"/>
      <c r="Y120" s="365"/>
    </row>
    <row r="121" spans="1:25" ht="22.5" customHeight="1" thickTop="1" thickBot="1">
      <c r="A121" s="360" t="s">
        <v>67</v>
      </c>
      <c r="B121" s="360" t="s">
        <v>71</v>
      </c>
      <c r="C121" s="352" t="s">
        <v>85</v>
      </c>
      <c r="D121" s="352" t="s">
        <v>85</v>
      </c>
      <c r="E121" s="360" t="s">
        <v>71</v>
      </c>
      <c r="F121" s="360" t="s">
        <v>71</v>
      </c>
      <c r="G121" s="351" t="s">
        <v>91</v>
      </c>
      <c r="H121" s="352"/>
      <c r="I121" s="352"/>
      <c r="J121" s="353" t="s">
        <v>206</v>
      </c>
      <c r="K121" s="363"/>
      <c r="L121" s="363"/>
      <c r="M121" s="363"/>
      <c r="N121" s="363"/>
      <c r="O121" s="363"/>
      <c r="P121" s="363"/>
      <c r="Q121" s="363"/>
      <c r="R121" s="363"/>
      <c r="S121" s="363"/>
      <c r="T121" s="363"/>
      <c r="U121" s="364"/>
      <c r="V121" s="360"/>
      <c r="W121" s="360"/>
      <c r="X121" s="360"/>
      <c r="Y121" s="365" t="s">
        <v>70</v>
      </c>
    </row>
    <row r="122" spans="1:25" ht="22.5" customHeight="1" thickTop="1" thickBot="1">
      <c r="A122" s="360" t="s">
        <v>67</v>
      </c>
      <c r="B122" s="360" t="s">
        <v>71</v>
      </c>
      <c r="C122" s="352" t="s">
        <v>85</v>
      </c>
      <c r="D122" s="352" t="s">
        <v>85</v>
      </c>
      <c r="E122" s="360" t="s">
        <v>71</v>
      </c>
      <c r="F122" s="360" t="s">
        <v>71</v>
      </c>
      <c r="G122" s="352" t="s">
        <v>91</v>
      </c>
      <c r="H122" s="352" t="s">
        <v>71</v>
      </c>
      <c r="I122" s="352"/>
      <c r="J122" s="357" t="s">
        <v>207</v>
      </c>
      <c r="K122" s="363"/>
      <c r="L122" s="363"/>
      <c r="M122" s="363"/>
      <c r="N122" s="363"/>
      <c r="O122" s="363"/>
      <c r="P122" s="363"/>
      <c r="Q122" s="363"/>
      <c r="R122" s="363"/>
      <c r="S122" s="363"/>
      <c r="T122" s="363"/>
      <c r="U122" s="364"/>
      <c r="V122" s="360"/>
      <c r="W122" s="360"/>
      <c r="X122" s="360"/>
      <c r="Y122" s="365" t="s">
        <v>70</v>
      </c>
    </row>
    <row r="123" spans="1:25" ht="22.5" customHeight="1" thickTop="1" thickBot="1">
      <c r="A123" s="360" t="s">
        <v>67</v>
      </c>
      <c r="B123" s="360" t="s">
        <v>71</v>
      </c>
      <c r="C123" s="352" t="s">
        <v>85</v>
      </c>
      <c r="D123" s="352" t="s">
        <v>85</v>
      </c>
      <c r="E123" s="360" t="s">
        <v>71</v>
      </c>
      <c r="F123" s="360" t="s">
        <v>71</v>
      </c>
      <c r="G123" s="352" t="s">
        <v>91</v>
      </c>
      <c r="H123" s="352" t="s">
        <v>85</v>
      </c>
      <c r="I123" s="352"/>
      <c r="J123" s="357" t="s">
        <v>208</v>
      </c>
      <c r="K123" s="363"/>
      <c r="L123" s="363"/>
      <c r="M123" s="363"/>
      <c r="N123" s="363"/>
      <c r="O123" s="363"/>
      <c r="P123" s="363"/>
      <c r="Q123" s="363"/>
      <c r="R123" s="363"/>
      <c r="S123" s="363"/>
      <c r="T123" s="363"/>
      <c r="U123" s="364"/>
      <c r="V123" s="360"/>
      <c r="W123" s="360"/>
      <c r="X123" s="360"/>
      <c r="Y123" s="365" t="s">
        <v>70</v>
      </c>
    </row>
    <row r="124" spans="1:25" ht="22.5" customHeight="1" thickTop="1" thickBot="1">
      <c r="A124" s="360" t="s">
        <v>67</v>
      </c>
      <c r="B124" s="360" t="s">
        <v>71</v>
      </c>
      <c r="C124" s="352" t="s">
        <v>85</v>
      </c>
      <c r="D124" s="352" t="s">
        <v>85</v>
      </c>
      <c r="E124" s="360" t="s">
        <v>71</v>
      </c>
      <c r="F124" s="360" t="s">
        <v>71</v>
      </c>
      <c r="G124" s="352" t="s">
        <v>91</v>
      </c>
      <c r="H124" s="352" t="s">
        <v>87</v>
      </c>
      <c r="I124" s="352"/>
      <c r="J124" s="357" t="s">
        <v>209</v>
      </c>
      <c r="K124" s="363"/>
      <c r="L124" s="363"/>
      <c r="M124" s="363"/>
      <c r="N124" s="363"/>
      <c r="O124" s="363"/>
      <c r="P124" s="363"/>
      <c r="Q124" s="363"/>
      <c r="R124" s="363"/>
      <c r="S124" s="363"/>
      <c r="T124" s="363"/>
      <c r="U124" s="364"/>
      <c r="V124" s="360"/>
      <c r="W124" s="360"/>
      <c r="X124" s="360"/>
      <c r="Y124" s="365"/>
    </row>
    <row r="125" spans="1:25" ht="22.5" customHeight="1" thickTop="1" thickBot="1">
      <c r="A125" s="360" t="s">
        <v>67</v>
      </c>
      <c r="B125" s="360" t="s">
        <v>71</v>
      </c>
      <c r="C125" s="352" t="s">
        <v>85</v>
      </c>
      <c r="D125" s="352" t="s">
        <v>85</v>
      </c>
      <c r="E125" s="360" t="s">
        <v>71</v>
      </c>
      <c r="F125" s="360" t="s">
        <v>71</v>
      </c>
      <c r="G125" s="352" t="s">
        <v>91</v>
      </c>
      <c r="H125" s="352" t="s">
        <v>89</v>
      </c>
      <c r="I125" s="352"/>
      <c r="J125" s="357" t="s">
        <v>210</v>
      </c>
      <c r="K125" s="363"/>
      <c r="L125" s="363"/>
      <c r="M125" s="363"/>
      <c r="N125" s="363"/>
      <c r="O125" s="363"/>
      <c r="P125" s="363"/>
      <c r="Q125" s="363"/>
      <c r="R125" s="363"/>
      <c r="S125" s="363"/>
      <c r="T125" s="363"/>
      <c r="U125" s="364"/>
      <c r="V125" s="360"/>
      <c r="W125" s="360"/>
      <c r="X125" s="360"/>
      <c r="Y125" s="365"/>
    </row>
    <row r="126" spans="1:25" ht="22.5" customHeight="1" thickTop="1" thickBot="1">
      <c r="A126" s="360" t="s">
        <v>67</v>
      </c>
      <c r="B126" s="360" t="s">
        <v>71</v>
      </c>
      <c r="C126" s="352" t="s">
        <v>85</v>
      </c>
      <c r="D126" s="352" t="s">
        <v>85</v>
      </c>
      <c r="E126" s="360" t="s">
        <v>71</v>
      </c>
      <c r="F126" s="360" t="s">
        <v>71</v>
      </c>
      <c r="G126" s="352" t="s">
        <v>91</v>
      </c>
      <c r="H126" s="352" t="s">
        <v>91</v>
      </c>
      <c r="I126" s="352"/>
      <c r="J126" s="357" t="s">
        <v>211</v>
      </c>
      <c r="K126" s="363"/>
      <c r="L126" s="363"/>
      <c r="M126" s="363"/>
      <c r="N126" s="363"/>
      <c r="O126" s="363"/>
      <c r="P126" s="363"/>
      <c r="Q126" s="363"/>
      <c r="R126" s="363"/>
      <c r="S126" s="363"/>
      <c r="T126" s="363"/>
      <c r="U126" s="364"/>
      <c r="V126" s="360"/>
      <c r="W126" s="360"/>
      <c r="X126" s="360"/>
      <c r="Y126" s="365"/>
    </row>
    <row r="127" spans="1:25" ht="22.5" customHeight="1" thickTop="1" thickBot="1">
      <c r="A127" s="360" t="s">
        <v>67</v>
      </c>
      <c r="B127" s="360" t="s">
        <v>71</v>
      </c>
      <c r="C127" s="352" t="s">
        <v>85</v>
      </c>
      <c r="D127" s="352" t="s">
        <v>85</v>
      </c>
      <c r="E127" s="360" t="s">
        <v>71</v>
      </c>
      <c r="F127" s="360" t="s">
        <v>71</v>
      </c>
      <c r="G127" s="352" t="s">
        <v>91</v>
      </c>
      <c r="H127" s="352" t="s">
        <v>93</v>
      </c>
      <c r="I127" s="352"/>
      <c r="J127" s="357" t="s">
        <v>212</v>
      </c>
      <c r="K127" s="363"/>
      <c r="L127" s="363"/>
      <c r="M127" s="363"/>
      <c r="N127" s="363"/>
      <c r="O127" s="363"/>
      <c r="P127" s="363"/>
      <c r="Q127" s="363"/>
      <c r="R127" s="363"/>
      <c r="S127" s="363"/>
      <c r="T127" s="363"/>
      <c r="U127" s="364"/>
      <c r="V127" s="360"/>
      <c r="W127" s="360"/>
      <c r="X127" s="360"/>
      <c r="Y127" s="365"/>
    </row>
    <row r="128" spans="1:25" ht="22.5" customHeight="1" thickTop="1" thickBot="1">
      <c r="A128" s="360" t="s">
        <v>67</v>
      </c>
      <c r="B128" s="360" t="s">
        <v>71</v>
      </c>
      <c r="C128" s="352" t="s">
        <v>85</v>
      </c>
      <c r="D128" s="352" t="s">
        <v>85</v>
      </c>
      <c r="E128" s="360" t="s">
        <v>71</v>
      </c>
      <c r="F128" s="360" t="s">
        <v>71</v>
      </c>
      <c r="G128" s="352" t="s">
        <v>91</v>
      </c>
      <c r="H128" s="352" t="s">
        <v>95</v>
      </c>
      <c r="I128" s="352"/>
      <c r="J128" s="357" t="s">
        <v>213</v>
      </c>
      <c r="K128" s="363"/>
      <c r="L128" s="363"/>
      <c r="M128" s="363"/>
      <c r="N128" s="363"/>
      <c r="O128" s="363"/>
      <c r="P128" s="363"/>
      <c r="Q128" s="363"/>
      <c r="R128" s="363"/>
      <c r="S128" s="363"/>
      <c r="T128" s="363"/>
      <c r="U128" s="364"/>
      <c r="V128" s="360"/>
      <c r="W128" s="360"/>
      <c r="X128" s="360"/>
      <c r="Y128" s="365"/>
    </row>
    <row r="129" spans="1:25" ht="22.5" customHeight="1" thickTop="1" thickBot="1">
      <c r="A129" s="360" t="s">
        <v>67</v>
      </c>
      <c r="B129" s="360" t="s">
        <v>71</v>
      </c>
      <c r="C129" s="352" t="s">
        <v>85</v>
      </c>
      <c r="D129" s="352" t="s">
        <v>85</v>
      </c>
      <c r="E129" s="360" t="s">
        <v>71</v>
      </c>
      <c r="F129" s="360" t="s">
        <v>71</v>
      </c>
      <c r="G129" s="352" t="s">
        <v>91</v>
      </c>
      <c r="H129" s="352" t="s">
        <v>97</v>
      </c>
      <c r="I129" s="352"/>
      <c r="J129" s="357" t="s">
        <v>210</v>
      </c>
      <c r="K129" s="363"/>
      <c r="L129" s="363"/>
      <c r="M129" s="363"/>
      <c r="N129" s="363"/>
      <c r="O129" s="363"/>
      <c r="P129" s="363"/>
      <c r="Q129" s="363"/>
      <c r="R129" s="363"/>
      <c r="S129" s="363"/>
      <c r="T129" s="363"/>
      <c r="U129" s="364"/>
      <c r="V129" s="360"/>
      <c r="W129" s="360"/>
      <c r="X129" s="360"/>
      <c r="Y129" s="365"/>
    </row>
    <row r="130" spans="1:25" ht="22.5" customHeight="1" thickTop="1" thickBot="1">
      <c r="A130" s="345">
        <v>1</v>
      </c>
      <c r="B130" s="346" t="s">
        <v>71</v>
      </c>
      <c r="C130" s="346" t="s">
        <v>85</v>
      </c>
      <c r="D130" s="346" t="s">
        <v>85</v>
      </c>
      <c r="E130" s="346" t="s">
        <v>85</v>
      </c>
      <c r="F130" s="347"/>
      <c r="G130" s="347"/>
      <c r="H130" s="347"/>
      <c r="I130" s="347"/>
      <c r="J130" s="348" t="s">
        <v>214</v>
      </c>
      <c r="K130" s="366"/>
      <c r="L130" s="366"/>
      <c r="M130" s="366"/>
      <c r="N130" s="366"/>
      <c r="O130" s="366"/>
      <c r="P130" s="366"/>
      <c r="Q130" s="366"/>
      <c r="R130" s="366"/>
      <c r="S130" s="366"/>
      <c r="T130" s="366"/>
      <c r="U130" s="350"/>
      <c r="V130" s="346"/>
      <c r="W130" s="345" t="s">
        <v>215</v>
      </c>
      <c r="X130" s="345" t="s">
        <v>216</v>
      </c>
      <c r="Y130" s="332" t="s">
        <v>70</v>
      </c>
    </row>
    <row r="131" spans="1:25" ht="22.5" customHeight="1" thickTop="1" thickBot="1">
      <c r="A131" s="360">
        <v>1</v>
      </c>
      <c r="B131" s="360" t="s">
        <v>71</v>
      </c>
      <c r="C131" s="352" t="s">
        <v>85</v>
      </c>
      <c r="D131" s="352" t="s">
        <v>85</v>
      </c>
      <c r="E131" s="360" t="s">
        <v>85</v>
      </c>
      <c r="F131" s="351" t="s">
        <v>71</v>
      </c>
      <c r="G131" s="352"/>
      <c r="H131" s="352"/>
      <c r="I131" s="352"/>
      <c r="J131" s="353" t="s">
        <v>217</v>
      </c>
      <c r="K131" s="367"/>
      <c r="L131" s="367"/>
      <c r="M131" s="367"/>
      <c r="N131" s="367"/>
      <c r="O131" s="367"/>
      <c r="P131" s="367"/>
      <c r="Q131" s="367"/>
      <c r="R131" s="367"/>
      <c r="S131" s="367"/>
      <c r="T131" s="367"/>
      <c r="U131" s="362"/>
      <c r="V131" s="351"/>
      <c r="W131" s="360" t="s">
        <v>218</v>
      </c>
      <c r="X131" s="360"/>
      <c r="Y131" s="332" t="s">
        <v>70</v>
      </c>
    </row>
    <row r="132" spans="1:25" ht="22.5" customHeight="1" thickTop="1" thickBot="1">
      <c r="A132" s="360">
        <v>1</v>
      </c>
      <c r="B132" s="360" t="s">
        <v>71</v>
      </c>
      <c r="C132" s="352" t="s">
        <v>85</v>
      </c>
      <c r="D132" s="352" t="s">
        <v>85</v>
      </c>
      <c r="E132" s="360" t="s">
        <v>85</v>
      </c>
      <c r="F132" s="352" t="s">
        <v>71</v>
      </c>
      <c r="G132" s="351" t="s">
        <v>71</v>
      </c>
      <c r="H132" s="352"/>
      <c r="I132" s="352"/>
      <c r="J132" s="357" t="s">
        <v>219</v>
      </c>
      <c r="K132" s="368"/>
      <c r="L132" s="368"/>
      <c r="M132" s="368"/>
      <c r="N132" s="368"/>
      <c r="O132" s="368"/>
      <c r="P132" s="368"/>
      <c r="Q132" s="368"/>
      <c r="R132" s="368"/>
      <c r="S132" s="368"/>
      <c r="T132" s="368"/>
      <c r="U132" s="364"/>
      <c r="V132" s="351"/>
      <c r="W132" s="360"/>
      <c r="X132" s="360"/>
      <c r="Y132" s="332" t="s">
        <v>70</v>
      </c>
    </row>
    <row r="133" spans="1:25" ht="22.5" customHeight="1" thickTop="1" thickBot="1">
      <c r="A133" s="360">
        <v>1</v>
      </c>
      <c r="B133" s="360" t="s">
        <v>71</v>
      </c>
      <c r="C133" s="352" t="s">
        <v>85</v>
      </c>
      <c r="D133" s="352" t="s">
        <v>85</v>
      </c>
      <c r="E133" s="360" t="s">
        <v>85</v>
      </c>
      <c r="F133" s="352" t="s">
        <v>71</v>
      </c>
      <c r="G133" s="351" t="s">
        <v>85</v>
      </c>
      <c r="H133" s="352"/>
      <c r="I133" s="352"/>
      <c r="J133" s="357" t="s">
        <v>220</v>
      </c>
      <c r="K133" s="368"/>
      <c r="L133" s="368"/>
      <c r="M133" s="368"/>
      <c r="N133" s="368"/>
      <c r="O133" s="368"/>
      <c r="P133" s="368"/>
      <c r="Q133" s="368"/>
      <c r="R133" s="368"/>
      <c r="S133" s="368"/>
      <c r="T133" s="368"/>
      <c r="U133" s="364"/>
      <c r="V133" s="351"/>
      <c r="W133" s="360"/>
      <c r="X133" s="360"/>
      <c r="Y133" s="332" t="s">
        <v>70</v>
      </c>
    </row>
    <row r="134" spans="1:25" ht="22.5" customHeight="1" thickTop="1" thickBot="1">
      <c r="A134" s="360">
        <v>1</v>
      </c>
      <c r="B134" s="360" t="s">
        <v>71</v>
      </c>
      <c r="C134" s="352" t="s">
        <v>85</v>
      </c>
      <c r="D134" s="352" t="s">
        <v>85</v>
      </c>
      <c r="E134" s="360" t="s">
        <v>85</v>
      </c>
      <c r="F134" s="352" t="s">
        <v>71</v>
      </c>
      <c r="G134" s="351" t="s">
        <v>87</v>
      </c>
      <c r="H134" s="352"/>
      <c r="I134" s="352"/>
      <c r="J134" s="357" t="s">
        <v>221</v>
      </c>
      <c r="K134" s="368"/>
      <c r="L134" s="368"/>
      <c r="M134" s="368"/>
      <c r="N134" s="368"/>
      <c r="O134" s="368"/>
      <c r="P134" s="368"/>
      <c r="Q134" s="368"/>
      <c r="R134" s="368"/>
      <c r="S134" s="368"/>
      <c r="T134" s="368"/>
      <c r="U134" s="364"/>
      <c r="V134" s="351"/>
      <c r="W134" s="360"/>
      <c r="X134" s="360"/>
      <c r="Y134" s="332"/>
    </row>
    <row r="135" spans="1:25" ht="22.5" customHeight="1" thickTop="1" thickBot="1">
      <c r="A135" s="360">
        <v>1</v>
      </c>
      <c r="B135" s="360" t="s">
        <v>71</v>
      </c>
      <c r="C135" s="352" t="s">
        <v>85</v>
      </c>
      <c r="D135" s="352" t="s">
        <v>85</v>
      </c>
      <c r="E135" s="360" t="s">
        <v>85</v>
      </c>
      <c r="F135" s="352" t="s">
        <v>71</v>
      </c>
      <c r="G135" s="351" t="s">
        <v>89</v>
      </c>
      <c r="H135" s="352"/>
      <c r="I135" s="352"/>
      <c r="J135" s="357" t="s">
        <v>222</v>
      </c>
      <c r="K135" s="368"/>
      <c r="L135" s="368"/>
      <c r="M135" s="368"/>
      <c r="N135" s="368"/>
      <c r="O135" s="368"/>
      <c r="P135" s="368"/>
      <c r="Q135" s="368"/>
      <c r="R135" s="368"/>
      <c r="S135" s="368"/>
      <c r="T135" s="368"/>
      <c r="U135" s="364"/>
      <c r="V135" s="351"/>
      <c r="W135" s="360"/>
      <c r="X135" s="360"/>
      <c r="Y135" s="332"/>
    </row>
    <row r="136" spans="1:25" ht="22.5" customHeight="1" thickTop="1" thickBot="1">
      <c r="A136" s="360">
        <v>1</v>
      </c>
      <c r="B136" s="360" t="s">
        <v>71</v>
      </c>
      <c r="C136" s="352" t="s">
        <v>85</v>
      </c>
      <c r="D136" s="352" t="s">
        <v>85</v>
      </c>
      <c r="E136" s="360" t="s">
        <v>85</v>
      </c>
      <c r="F136" s="352" t="s">
        <v>71</v>
      </c>
      <c r="G136" s="351" t="s">
        <v>91</v>
      </c>
      <c r="H136" s="352"/>
      <c r="I136" s="352"/>
      <c r="J136" s="357" t="s">
        <v>223</v>
      </c>
      <c r="K136" s="368"/>
      <c r="L136" s="368"/>
      <c r="M136" s="368"/>
      <c r="N136" s="368"/>
      <c r="O136" s="368"/>
      <c r="P136" s="368"/>
      <c r="Q136" s="368"/>
      <c r="R136" s="368"/>
      <c r="S136" s="368"/>
      <c r="T136" s="368"/>
      <c r="U136" s="364"/>
      <c r="V136" s="351"/>
      <c r="W136" s="360"/>
      <c r="X136" s="360"/>
      <c r="Y136" s="332"/>
    </row>
    <row r="137" spans="1:25" ht="22.5" customHeight="1" thickTop="1" thickBot="1">
      <c r="A137" s="360">
        <v>1</v>
      </c>
      <c r="B137" s="360" t="s">
        <v>71</v>
      </c>
      <c r="C137" s="352" t="s">
        <v>85</v>
      </c>
      <c r="D137" s="352" t="s">
        <v>85</v>
      </c>
      <c r="E137" s="360" t="s">
        <v>85</v>
      </c>
      <c r="F137" s="352" t="s">
        <v>71</v>
      </c>
      <c r="G137" s="351" t="s">
        <v>93</v>
      </c>
      <c r="H137" s="352"/>
      <c r="I137" s="352"/>
      <c r="J137" s="357" t="s">
        <v>224</v>
      </c>
      <c r="K137" s="368"/>
      <c r="L137" s="368"/>
      <c r="M137" s="368"/>
      <c r="N137" s="368"/>
      <c r="O137" s="368"/>
      <c r="P137" s="368"/>
      <c r="Q137" s="368"/>
      <c r="R137" s="368"/>
      <c r="S137" s="368"/>
      <c r="T137" s="368"/>
      <c r="U137" s="364"/>
      <c r="V137" s="351"/>
      <c r="W137" s="360"/>
      <c r="X137" s="360"/>
      <c r="Y137" s="332"/>
    </row>
    <row r="138" spans="1:25" ht="22.5" customHeight="1" thickTop="1" thickBot="1">
      <c r="A138" s="360">
        <v>1</v>
      </c>
      <c r="B138" s="360" t="s">
        <v>71</v>
      </c>
      <c r="C138" s="352" t="s">
        <v>85</v>
      </c>
      <c r="D138" s="352" t="s">
        <v>85</v>
      </c>
      <c r="E138" s="360" t="s">
        <v>85</v>
      </c>
      <c r="F138" s="352" t="s">
        <v>71</v>
      </c>
      <c r="G138" s="351" t="s">
        <v>95</v>
      </c>
      <c r="H138" s="352"/>
      <c r="I138" s="352"/>
      <c r="J138" s="357" t="s">
        <v>225</v>
      </c>
      <c r="K138" s="368"/>
      <c r="L138" s="368"/>
      <c r="M138" s="368"/>
      <c r="N138" s="368"/>
      <c r="O138" s="368"/>
      <c r="P138" s="368"/>
      <c r="Q138" s="368"/>
      <c r="R138" s="368"/>
      <c r="S138" s="368"/>
      <c r="T138" s="368"/>
      <c r="U138" s="364"/>
      <c r="V138" s="351"/>
      <c r="W138" s="360"/>
      <c r="X138" s="360"/>
      <c r="Y138" s="332"/>
    </row>
    <row r="139" spans="1:25" ht="22.5" customHeight="1" thickTop="1" thickBot="1">
      <c r="A139" s="360">
        <v>1</v>
      </c>
      <c r="B139" s="360" t="s">
        <v>71</v>
      </c>
      <c r="C139" s="352" t="s">
        <v>85</v>
      </c>
      <c r="D139" s="352" t="s">
        <v>85</v>
      </c>
      <c r="E139" s="360" t="s">
        <v>85</v>
      </c>
      <c r="F139" s="352" t="s">
        <v>71</v>
      </c>
      <c r="G139" s="351" t="s">
        <v>97</v>
      </c>
      <c r="H139" s="352"/>
      <c r="I139" s="352"/>
      <c r="J139" s="357" t="s">
        <v>222</v>
      </c>
      <c r="K139" s="368"/>
      <c r="L139" s="368"/>
      <c r="M139" s="368"/>
      <c r="N139" s="368"/>
      <c r="O139" s="368"/>
      <c r="P139" s="368"/>
      <c r="Q139" s="368"/>
      <c r="R139" s="368"/>
      <c r="S139" s="368"/>
      <c r="T139" s="368"/>
      <c r="U139" s="364"/>
      <c r="V139" s="351"/>
      <c r="W139" s="360"/>
      <c r="X139" s="360"/>
      <c r="Y139" s="332"/>
    </row>
    <row r="140" spans="1:25" ht="22.5" customHeight="1" thickTop="1" thickBot="1">
      <c r="A140" s="360">
        <v>1</v>
      </c>
      <c r="B140" s="360" t="s">
        <v>71</v>
      </c>
      <c r="C140" s="352" t="s">
        <v>85</v>
      </c>
      <c r="D140" s="352" t="s">
        <v>85</v>
      </c>
      <c r="E140" s="360" t="s">
        <v>85</v>
      </c>
      <c r="F140" s="351" t="s">
        <v>85</v>
      </c>
      <c r="G140" s="352"/>
      <c r="H140" s="352"/>
      <c r="I140" s="352"/>
      <c r="J140" s="353" t="s">
        <v>226</v>
      </c>
      <c r="K140" s="367"/>
      <c r="L140" s="367"/>
      <c r="M140" s="367"/>
      <c r="N140" s="367"/>
      <c r="O140" s="367"/>
      <c r="P140" s="367"/>
      <c r="Q140" s="367"/>
      <c r="R140" s="367"/>
      <c r="S140" s="367"/>
      <c r="T140" s="367"/>
      <c r="U140" s="362"/>
      <c r="V140" s="351"/>
      <c r="W140" s="360" t="s">
        <v>218</v>
      </c>
      <c r="X140" s="360"/>
      <c r="Y140" s="332" t="s">
        <v>70</v>
      </c>
    </row>
    <row r="141" spans="1:25" ht="22.5" customHeight="1" thickTop="1" thickBot="1">
      <c r="A141" s="360">
        <v>1</v>
      </c>
      <c r="B141" s="360" t="s">
        <v>71</v>
      </c>
      <c r="C141" s="352" t="s">
        <v>85</v>
      </c>
      <c r="D141" s="352" t="s">
        <v>85</v>
      </c>
      <c r="E141" s="360" t="s">
        <v>85</v>
      </c>
      <c r="F141" s="352" t="s">
        <v>85</v>
      </c>
      <c r="G141" s="351" t="s">
        <v>71</v>
      </c>
      <c r="H141" s="352"/>
      <c r="I141" s="352"/>
      <c r="J141" s="357" t="s">
        <v>227</v>
      </c>
      <c r="K141" s="368"/>
      <c r="L141" s="368"/>
      <c r="M141" s="368"/>
      <c r="N141" s="368"/>
      <c r="O141" s="368"/>
      <c r="P141" s="368"/>
      <c r="Q141" s="368"/>
      <c r="R141" s="368"/>
      <c r="S141" s="368"/>
      <c r="T141" s="368"/>
      <c r="U141" s="364"/>
      <c r="V141" s="351"/>
      <c r="W141" s="360"/>
      <c r="X141" s="360"/>
      <c r="Y141" s="332" t="s">
        <v>70</v>
      </c>
    </row>
    <row r="142" spans="1:25" ht="22.5" customHeight="1" thickTop="1" thickBot="1">
      <c r="A142" s="360">
        <v>1</v>
      </c>
      <c r="B142" s="360" t="s">
        <v>71</v>
      </c>
      <c r="C142" s="352" t="s">
        <v>85</v>
      </c>
      <c r="D142" s="352" t="s">
        <v>85</v>
      </c>
      <c r="E142" s="360" t="s">
        <v>85</v>
      </c>
      <c r="F142" s="352" t="s">
        <v>85</v>
      </c>
      <c r="G142" s="351" t="s">
        <v>85</v>
      </c>
      <c r="H142" s="352"/>
      <c r="I142" s="352"/>
      <c r="J142" s="357" t="s">
        <v>228</v>
      </c>
      <c r="K142" s="368"/>
      <c r="L142" s="368"/>
      <c r="M142" s="368"/>
      <c r="N142" s="368"/>
      <c r="O142" s="368"/>
      <c r="P142" s="368"/>
      <c r="Q142" s="368"/>
      <c r="R142" s="368"/>
      <c r="S142" s="368"/>
      <c r="T142" s="368"/>
      <c r="U142" s="364"/>
      <c r="V142" s="351"/>
      <c r="W142" s="360"/>
      <c r="X142" s="360"/>
      <c r="Y142" s="332" t="s">
        <v>70</v>
      </c>
    </row>
    <row r="143" spans="1:25" ht="22.5" customHeight="1" thickTop="1" thickBot="1">
      <c r="A143" s="360">
        <v>1</v>
      </c>
      <c r="B143" s="360" t="s">
        <v>71</v>
      </c>
      <c r="C143" s="352" t="s">
        <v>85</v>
      </c>
      <c r="D143" s="352" t="s">
        <v>85</v>
      </c>
      <c r="E143" s="360" t="s">
        <v>85</v>
      </c>
      <c r="F143" s="352" t="s">
        <v>85</v>
      </c>
      <c r="G143" s="351" t="s">
        <v>87</v>
      </c>
      <c r="H143" s="352"/>
      <c r="I143" s="352"/>
      <c r="J143" s="357" t="s">
        <v>229</v>
      </c>
      <c r="K143" s="368"/>
      <c r="L143" s="368"/>
      <c r="M143" s="368"/>
      <c r="N143" s="368"/>
      <c r="O143" s="368"/>
      <c r="P143" s="368"/>
      <c r="Q143" s="368"/>
      <c r="R143" s="368"/>
      <c r="S143" s="368"/>
      <c r="T143" s="368"/>
      <c r="U143" s="364"/>
      <c r="V143" s="351"/>
      <c r="W143" s="360"/>
      <c r="X143" s="360"/>
      <c r="Y143" s="332"/>
    </row>
    <row r="144" spans="1:25" ht="22.5" customHeight="1" thickTop="1" thickBot="1">
      <c r="A144" s="360">
        <v>1</v>
      </c>
      <c r="B144" s="360" t="s">
        <v>71</v>
      </c>
      <c r="C144" s="352" t="s">
        <v>85</v>
      </c>
      <c r="D144" s="352" t="s">
        <v>85</v>
      </c>
      <c r="E144" s="360" t="s">
        <v>85</v>
      </c>
      <c r="F144" s="352" t="s">
        <v>85</v>
      </c>
      <c r="G144" s="351" t="s">
        <v>89</v>
      </c>
      <c r="H144" s="352"/>
      <c r="I144" s="352"/>
      <c r="J144" s="357" t="s">
        <v>230</v>
      </c>
      <c r="K144" s="368"/>
      <c r="L144" s="368"/>
      <c r="M144" s="368"/>
      <c r="N144" s="368"/>
      <c r="O144" s="368"/>
      <c r="P144" s="368"/>
      <c r="Q144" s="368"/>
      <c r="R144" s="368"/>
      <c r="S144" s="368"/>
      <c r="T144" s="368"/>
      <c r="U144" s="364"/>
      <c r="V144" s="351"/>
      <c r="W144" s="360"/>
      <c r="X144" s="360"/>
      <c r="Y144" s="332"/>
    </row>
    <row r="145" spans="1:25" ht="22.5" customHeight="1" thickTop="1" thickBot="1">
      <c r="A145" s="360">
        <v>1</v>
      </c>
      <c r="B145" s="360" t="s">
        <v>71</v>
      </c>
      <c r="C145" s="352" t="s">
        <v>85</v>
      </c>
      <c r="D145" s="352" t="s">
        <v>85</v>
      </c>
      <c r="E145" s="360" t="s">
        <v>85</v>
      </c>
      <c r="F145" s="352" t="s">
        <v>85</v>
      </c>
      <c r="G145" s="351" t="s">
        <v>91</v>
      </c>
      <c r="H145" s="352"/>
      <c r="I145" s="352"/>
      <c r="J145" s="357" t="s">
        <v>231</v>
      </c>
      <c r="K145" s="368"/>
      <c r="L145" s="368"/>
      <c r="M145" s="368"/>
      <c r="N145" s="368"/>
      <c r="O145" s="368"/>
      <c r="P145" s="368"/>
      <c r="Q145" s="368"/>
      <c r="R145" s="368"/>
      <c r="S145" s="368"/>
      <c r="T145" s="368"/>
      <c r="U145" s="364"/>
      <c r="V145" s="351"/>
      <c r="W145" s="360"/>
      <c r="X145" s="360"/>
      <c r="Y145" s="332"/>
    </row>
    <row r="146" spans="1:25" ht="22.5" customHeight="1" thickTop="1" thickBot="1">
      <c r="A146" s="360">
        <v>1</v>
      </c>
      <c r="B146" s="360" t="s">
        <v>71</v>
      </c>
      <c r="C146" s="352" t="s">
        <v>85</v>
      </c>
      <c r="D146" s="352" t="s">
        <v>85</v>
      </c>
      <c r="E146" s="360" t="s">
        <v>85</v>
      </c>
      <c r="F146" s="352" t="s">
        <v>85</v>
      </c>
      <c r="G146" s="351" t="s">
        <v>93</v>
      </c>
      <c r="H146" s="352"/>
      <c r="I146" s="352"/>
      <c r="J146" s="357" t="s">
        <v>232</v>
      </c>
      <c r="K146" s="368"/>
      <c r="L146" s="368"/>
      <c r="M146" s="368"/>
      <c r="N146" s="368"/>
      <c r="O146" s="368"/>
      <c r="P146" s="368"/>
      <c r="Q146" s="368"/>
      <c r="R146" s="368"/>
      <c r="S146" s="368"/>
      <c r="T146" s="368"/>
      <c r="U146" s="364"/>
      <c r="V146" s="351"/>
      <c r="W146" s="360"/>
      <c r="X146" s="360"/>
      <c r="Y146" s="332"/>
    </row>
    <row r="147" spans="1:25" ht="22.5" customHeight="1" thickTop="1" thickBot="1">
      <c r="A147" s="360">
        <v>1</v>
      </c>
      <c r="B147" s="360" t="s">
        <v>71</v>
      </c>
      <c r="C147" s="352" t="s">
        <v>85</v>
      </c>
      <c r="D147" s="352" t="s">
        <v>85</v>
      </c>
      <c r="E147" s="360" t="s">
        <v>85</v>
      </c>
      <c r="F147" s="352" t="s">
        <v>85</v>
      </c>
      <c r="G147" s="351" t="s">
        <v>95</v>
      </c>
      <c r="H147" s="352"/>
      <c r="I147" s="352"/>
      <c r="J147" s="357" t="s">
        <v>233</v>
      </c>
      <c r="K147" s="368"/>
      <c r="L147" s="368"/>
      <c r="M147" s="368"/>
      <c r="N147" s="368"/>
      <c r="O147" s="368"/>
      <c r="P147" s="368"/>
      <c r="Q147" s="368"/>
      <c r="R147" s="368"/>
      <c r="S147" s="368"/>
      <c r="T147" s="368"/>
      <c r="U147" s="364"/>
      <c r="V147" s="351"/>
      <c r="W147" s="360"/>
      <c r="X147" s="360"/>
      <c r="Y147" s="332"/>
    </row>
    <row r="148" spans="1:25" ht="22.5" customHeight="1" thickTop="1" thickBot="1">
      <c r="A148" s="360">
        <v>1</v>
      </c>
      <c r="B148" s="360" t="s">
        <v>71</v>
      </c>
      <c r="C148" s="352" t="s">
        <v>85</v>
      </c>
      <c r="D148" s="352" t="s">
        <v>85</v>
      </c>
      <c r="E148" s="360" t="s">
        <v>85</v>
      </c>
      <c r="F148" s="352" t="s">
        <v>85</v>
      </c>
      <c r="G148" s="351" t="s">
        <v>97</v>
      </c>
      <c r="H148" s="352"/>
      <c r="I148" s="352"/>
      <c r="J148" s="357" t="s">
        <v>230</v>
      </c>
      <c r="K148" s="368"/>
      <c r="L148" s="368"/>
      <c r="M148" s="368"/>
      <c r="N148" s="368"/>
      <c r="O148" s="368"/>
      <c r="P148" s="368"/>
      <c r="Q148" s="368"/>
      <c r="R148" s="368"/>
      <c r="S148" s="368"/>
      <c r="T148" s="368"/>
      <c r="U148" s="364"/>
      <c r="V148" s="351"/>
      <c r="W148" s="360"/>
      <c r="X148" s="360"/>
      <c r="Y148" s="332"/>
    </row>
    <row r="149" spans="1:25" ht="22.5" customHeight="1" thickTop="1" thickBot="1">
      <c r="A149" s="360">
        <v>1</v>
      </c>
      <c r="B149" s="360" t="s">
        <v>71</v>
      </c>
      <c r="C149" s="352" t="s">
        <v>85</v>
      </c>
      <c r="D149" s="352" t="s">
        <v>85</v>
      </c>
      <c r="E149" s="360" t="s">
        <v>85</v>
      </c>
      <c r="F149" s="351" t="s">
        <v>87</v>
      </c>
      <c r="G149" s="352"/>
      <c r="H149" s="352"/>
      <c r="I149" s="352"/>
      <c r="J149" s="353" t="s">
        <v>234</v>
      </c>
      <c r="K149" s="367"/>
      <c r="L149" s="367"/>
      <c r="M149" s="367"/>
      <c r="N149" s="367"/>
      <c r="O149" s="367"/>
      <c r="P149" s="367"/>
      <c r="Q149" s="367"/>
      <c r="R149" s="367"/>
      <c r="S149" s="367"/>
      <c r="T149" s="367"/>
      <c r="U149" s="362"/>
      <c r="V149" s="351"/>
      <c r="W149" s="360"/>
      <c r="X149" s="360"/>
      <c r="Y149" s="332" t="s">
        <v>70</v>
      </c>
    </row>
    <row r="150" spans="1:25" ht="22.5" customHeight="1" thickTop="1" thickBot="1">
      <c r="A150" s="360">
        <v>1</v>
      </c>
      <c r="B150" s="360" t="s">
        <v>71</v>
      </c>
      <c r="C150" s="352" t="s">
        <v>85</v>
      </c>
      <c r="D150" s="352" t="s">
        <v>85</v>
      </c>
      <c r="E150" s="360" t="s">
        <v>85</v>
      </c>
      <c r="F150" s="352" t="s">
        <v>87</v>
      </c>
      <c r="G150" s="351" t="s">
        <v>71</v>
      </c>
      <c r="H150" s="352"/>
      <c r="I150" s="352"/>
      <c r="J150" s="357" t="s">
        <v>235</v>
      </c>
      <c r="K150" s="368"/>
      <c r="L150" s="368"/>
      <c r="M150" s="368"/>
      <c r="N150" s="368"/>
      <c r="O150" s="368"/>
      <c r="P150" s="368"/>
      <c r="Q150" s="368"/>
      <c r="R150" s="368"/>
      <c r="S150" s="368"/>
      <c r="T150" s="368"/>
      <c r="U150" s="364"/>
      <c r="V150" s="351"/>
      <c r="W150" s="360"/>
      <c r="X150" s="360"/>
      <c r="Y150" s="332" t="s">
        <v>70</v>
      </c>
    </row>
    <row r="151" spans="1:25" ht="22.5" customHeight="1" thickTop="1" thickBot="1">
      <c r="A151" s="360">
        <v>1</v>
      </c>
      <c r="B151" s="360" t="s">
        <v>71</v>
      </c>
      <c r="C151" s="352" t="s">
        <v>85</v>
      </c>
      <c r="D151" s="352" t="s">
        <v>85</v>
      </c>
      <c r="E151" s="360" t="s">
        <v>85</v>
      </c>
      <c r="F151" s="352" t="s">
        <v>87</v>
      </c>
      <c r="G151" s="351" t="s">
        <v>85</v>
      </c>
      <c r="H151" s="352"/>
      <c r="I151" s="352"/>
      <c r="J151" s="357" t="s">
        <v>236</v>
      </c>
      <c r="K151" s="368"/>
      <c r="L151" s="368"/>
      <c r="M151" s="368"/>
      <c r="N151" s="368"/>
      <c r="O151" s="368"/>
      <c r="P151" s="368"/>
      <c r="Q151" s="368"/>
      <c r="R151" s="368"/>
      <c r="S151" s="368"/>
      <c r="T151" s="368"/>
      <c r="U151" s="364"/>
      <c r="V151" s="351"/>
      <c r="W151" s="360"/>
      <c r="X151" s="360"/>
      <c r="Y151" s="332" t="s">
        <v>70</v>
      </c>
    </row>
    <row r="152" spans="1:25" ht="22.5" customHeight="1" thickTop="1" thickBot="1">
      <c r="A152" s="360">
        <v>1</v>
      </c>
      <c r="B152" s="360" t="s">
        <v>71</v>
      </c>
      <c r="C152" s="352" t="s">
        <v>85</v>
      </c>
      <c r="D152" s="352" t="s">
        <v>85</v>
      </c>
      <c r="E152" s="360" t="s">
        <v>85</v>
      </c>
      <c r="F152" s="352" t="s">
        <v>87</v>
      </c>
      <c r="G152" s="351" t="s">
        <v>87</v>
      </c>
      <c r="H152" s="352"/>
      <c r="I152" s="352"/>
      <c r="J152" s="357" t="s">
        <v>237</v>
      </c>
      <c r="K152" s="368"/>
      <c r="L152" s="368"/>
      <c r="M152" s="368"/>
      <c r="N152" s="368"/>
      <c r="O152" s="368"/>
      <c r="P152" s="368"/>
      <c r="Q152" s="368"/>
      <c r="R152" s="368"/>
      <c r="S152" s="368"/>
      <c r="T152" s="368"/>
      <c r="U152" s="364"/>
      <c r="V152" s="351"/>
      <c r="W152" s="360"/>
      <c r="X152" s="360"/>
      <c r="Y152" s="332"/>
    </row>
    <row r="153" spans="1:25" ht="22.5" customHeight="1" thickTop="1" thickBot="1">
      <c r="A153" s="360">
        <v>1</v>
      </c>
      <c r="B153" s="360" t="s">
        <v>71</v>
      </c>
      <c r="C153" s="352" t="s">
        <v>85</v>
      </c>
      <c r="D153" s="352" t="s">
        <v>85</v>
      </c>
      <c r="E153" s="360" t="s">
        <v>85</v>
      </c>
      <c r="F153" s="352" t="s">
        <v>87</v>
      </c>
      <c r="G153" s="351" t="s">
        <v>89</v>
      </c>
      <c r="H153" s="352"/>
      <c r="I153" s="352"/>
      <c r="J153" s="357" t="s">
        <v>238</v>
      </c>
      <c r="K153" s="368"/>
      <c r="L153" s="368"/>
      <c r="M153" s="368"/>
      <c r="N153" s="368"/>
      <c r="O153" s="368"/>
      <c r="P153" s="368"/>
      <c r="Q153" s="368"/>
      <c r="R153" s="368"/>
      <c r="S153" s="368"/>
      <c r="T153" s="368"/>
      <c r="U153" s="364"/>
      <c r="V153" s="351"/>
      <c r="W153" s="360"/>
      <c r="X153" s="360"/>
      <c r="Y153" s="332"/>
    </row>
    <row r="154" spans="1:25" ht="22.5" customHeight="1" thickTop="1" thickBot="1">
      <c r="A154" s="360">
        <v>1</v>
      </c>
      <c r="B154" s="360" t="s">
        <v>71</v>
      </c>
      <c r="C154" s="352" t="s">
        <v>85</v>
      </c>
      <c r="D154" s="352" t="s">
        <v>85</v>
      </c>
      <c r="E154" s="360" t="s">
        <v>85</v>
      </c>
      <c r="F154" s="352" t="s">
        <v>87</v>
      </c>
      <c r="G154" s="351" t="s">
        <v>91</v>
      </c>
      <c r="H154" s="352"/>
      <c r="I154" s="352"/>
      <c r="J154" s="357" t="s">
        <v>239</v>
      </c>
      <c r="K154" s="368"/>
      <c r="L154" s="368"/>
      <c r="M154" s="368"/>
      <c r="N154" s="368"/>
      <c r="O154" s="368"/>
      <c r="P154" s="368"/>
      <c r="Q154" s="368"/>
      <c r="R154" s="368"/>
      <c r="S154" s="368"/>
      <c r="T154" s="368"/>
      <c r="U154" s="364"/>
      <c r="V154" s="351"/>
      <c r="W154" s="360"/>
      <c r="X154" s="360"/>
      <c r="Y154" s="332"/>
    </row>
    <row r="155" spans="1:25" ht="22.5" customHeight="1" thickTop="1" thickBot="1">
      <c r="A155" s="360">
        <v>1</v>
      </c>
      <c r="B155" s="360" t="s">
        <v>71</v>
      </c>
      <c r="C155" s="352" t="s">
        <v>85</v>
      </c>
      <c r="D155" s="352" t="s">
        <v>85</v>
      </c>
      <c r="E155" s="360" t="s">
        <v>85</v>
      </c>
      <c r="F155" s="352" t="s">
        <v>87</v>
      </c>
      <c r="G155" s="351" t="s">
        <v>93</v>
      </c>
      <c r="H155" s="352"/>
      <c r="I155" s="352"/>
      <c r="J155" s="357" t="s">
        <v>240</v>
      </c>
      <c r="K155" s="368"/>
      <c r="L155" s="368"/>
      <c r="M155" s="368"/>
      <c r="N155" s="368"/>
      <c r="O155" s="368"/>
      <c r="P155" s="368"/>
      <c r="Q155" s="368"/>
      <c r="R155" s="368"/>
      <c r="S155" s="368"/>
      <c r="T155" s="368"/>
      <c r="U155" s="364"/>
      <c r="V155" s="351"/>
      <c r="W155" s="360"/>
      <c r="X155" s="360"/>
      <c r="Y155" s="332"/>
    </row>
    <row r="156" spans="1:25" ht="22.5" customHeight="1" thickTop="1" thickBot="1">
      <c r="A156" s="360">
        <v>1</v>
      </c>
      <c r="B156" s="360" t="s">
        <v>71</v>
      </c>
      <c r="C156" s="352" t="s">
        <v>85</v>
      </c>
      <c r="D156" s="352" t="s">
        <v>85</v>
      </c>
      <c r="E156" s="360" t="s">
        <v>85</v>
      </c>
      <c r="F156" s="352" t="s">
        <v>87</v>
      </c>
      <c r="G156" s="351" t="s">
        <v>95</v>
      </c>
      <c r="H156" s="352"/>
      <c r="I156" s="352"/>
      <c r="J156" s="357" t="s">
        <v>241</v>
      </c>
      <c r="K156" s="368"/>
      <c r="L156" s="368"/>
      <c r="M156" s="368"/>
      <c r="N156" s="368"/>
      <c r="O156" s="368"/>
      <c r="P156" s="368"/>
      <c r="Q156" s="368"/>
      <c r="R156" s="368"/>
      <c r="S156" s="368"/>
      <c r="T156" s="368"/>
      <c r="U156" s="364"/>
      <c r="V156" s="351"/>
      <c r="W156" s="360"/>
      <c r="X156" s="360"/>
      <c r="Y156" s="332"/>
    </row>
    <row r="157" spans="1:25" ht="22.5" customHeight="1" thickTop="1" thickBot="1">
      <c r="A157" s="360">
        <v>1</v>
      </c>
      <c r="B157" s="360" t="s">
        <v>71</v>
      </c>
      <c r="C157" s="352" t="s">
        <v>85</v>
      </c>
      <c r="D157" s="352" t="s">
        <v>85</v>
      </c>
      <c r="E157" s="360" t="s">
        <v>85</v>
      </c>
      <c r="F157" s="352" t="s">
        <v>87</v>
      </c>
      <c r="G157" s="351" t="s">
        <v>97</v>
      </c>
      <c r="H157" s="352"/>
      <c r="I157" s="352"/>
      <c r="J157" s="357" t="s">
        <v>238</v>
      </c>
      <c r="K157" s="368"/>
      <c r="L157" s="368"/>
      <c r="M157" s="368"/>
      <c r="N157" s="368"/>
      <c r="O157" s="368"/>
      <c r="P157" s="368"/>
      <c r="Q157" s="368"/>
      <c r="R157" s="368"/>
      <c r="S157" s="368"/>
      <c r="T157" s="368"/>
      <c r="U157" s="364"/>
      <c r="V157" s="351"/>
      <c r="W157" s="360"/>
      <c r="X157" s="360"/>
      <c r="Y157" s="332"/>
    </row>
    <row r="158" spans="1:25" ht="22.5" customHeight="1" thickTop="1" thickBot="1">
      <c r="A158" s="360">
        <v>1</v>
      </c>
      <c r="B158" s="360" t="s">
        <v>71</v>
      </c>
      <c r="C158" s="352" t="s">
        <v>85</v>
      </c>
      <c r="D158" s="352" t="s">
        <v>85</v>
      </c>
      <c r="E158" s="360" t="s">
        <v>85</v>
      </c>
      <c r="F158" s="351" t="s">
        <v>89</v>
      </c>
      <c r="G158" s="352"/>
      <c r="H158" s="352"/>
      <c r="I158" s="352"/>
      <c r="J158" s="353" t="s">
        <v>242</v>
      </c>
      <c r="K158" s="367"/>
      <c r="L158" s="367"/>
      <c r="M158" s="367"/>
      <c r="N158" s="367"/>
      <c r="O158" s="367"/>
      <c r="P158" s="367"/>
      <c r="Q158" s="367"/>
      <c r="R158" s="367"/>
      <c r="S158" s="367"/>
      <c r="T158" s="367"/>
      <c r="U158" s="362"/>
      <c r="V158" s="351"/>
      <c r="W158" s="360"/>
      <c r="X158" s="360"/>
      <c r="Y158" s="332" t="s">
        <v>70</v>
      </c>
    </row>
    <row r="159" spans="1:25" ht="22.5" customHeight="1" thickTop="1" thickBot="1">
      <c r="A159" s="360">
        <v>1</v>
      </c>
      <c r="B159" s="360" t="s">
        <v>71</v>
      </c>
      <c r="C159" s="352" t="s">
        <v>85</v>
      </c>
      <c r="D159" s="352" t="s">
        <v>85</v>
      </c>
      <c r="E159" s="360" t="s">
        <v>85</v>
      </c>
      <c r="F159" s="352" t="s">
        <v>89</v>
      </c>
      <c r="G159" s="351" t="s">
        <v>71</v>
      </c>
      <c r="H159" s="352"/>
      <c r="I159" s="352"/>
      <c r="J159" s="357" t="s">
        <v>243</v>
      </c>
      <c r="K159" s="368"/>
      <c r="L159" s="368"/>
      <c r="M159" s="368"/>
      <c r="N159" s="368"/>
      <c r="O159" s="368"/>
      <c r="P159" s="368"/>
      <c r="Q159" s="368"/>
      <c r="R159" s="368"/>
      <c r="S159" s="368"/>
      <c r="T159" s="368"/>
      <c r="U159" s="364"/>
      <c r="V159" s="351"/>
      <c r="W159" s="360"/>
      <c r="X159" s="360"/>
      <c r="Y159" s="332" t="s">
        <v>70</v>
      </c>
    </row>
    <row r="160" spans="1:25" ht="22.5" customHeight="1" thickTop="1" thickBot="1">
      <c r="A160" s="360">
        <v>1</v>
      </c>
      <c r="B160" s="360" t="s">
        <v>71</v>
      </c>
      <c r="C160" s="352" t="s">
        <v>85</v>
      </c>
      <c r="D160" s="352" t="s">
        <v>85</v>
      </c>
      <c r="E160" s="360" t="s">
        <v>85</v>
      </c>
      <c r="F160" s="352" t="s">
        <v>89</v>
      </c>
      <c r="G160" s="351" t="s">
        <v>85</v>
      </c>
      <c r="H160" s="352"/>
      <c r="I160" s="352"/>
      <c r="J160" s="357" t="s">
        <v>244</v>
      </c>
      <c r="K160" s="368"/>
      <c r="L160" s="368"/>
      <c r="M160" s="368"/>
      <c r="N160" s="368"/>
      <c r="O160" s="368"/>
      <c r="P160" s="368"/>
      <c r="Q160" s="368"/>
      <c r="R160" s="368"/>
      <c r="S160" s="368"/>
      <c r="T160" s="368"/>
      <c r="U160" s="364"/>
      <c r="V160" s="351"/>
      <c r="W160" s="360"/>
      <c r="X160" s="360"/>
      <c r="Y160" s="332" t="s">
        <v>70</v>
      </c>
    </row>
    <row r="161" spans="1:25" ht="22.5" customHeight="1" thickTop="1" thickBot="1">
      <c r="A161" s="360">
        <v>1</v>
      </c>
      <c r="B161" s="360" t="s">
        <v>71</v>
      </c>
      <c r="C161" s="352" t="s">
        <v>85</v>
      </c>
      <c r="D161" s="352" t="s">
        <v>85</v>
      </c>
      <c r="E161" s="360" t="s">
        <v>85</v>
      </c>
      <c r="F161" s="351" t="s">
        <v>91</v>
      </c>
      <c r="G161" s="352"/>
      <c r="H161" s="352"/>
      <c r="I161" s="352"/>
      <c r="J161" s="353" t="s">
        <v>245</v>
      </c>
      <c r="K161" s="367"/>
      <c r="L161" s="367"/>
      <c r="M161" s="367"/>
      <c r="N161" s="367"/>
      <c r="O161" s="367"/>
      <c r="P161" s="367"/>
      <c r="Q161" s="367"/>
      <c r="R161" s="367"/>
      <c r="S161" s="367"/>
      <c r="T161" s="367"/>
      <c r="U161" s="362"/>
      <c r="V161" s="351"/>
      <c r="W161" s="360"/>
      <c r="X161" s="360"/>
      <c r="Y161" s="332" t="s">
        <v>70</v>
      </c>
    </row>
    <row r="162" spans="1:25" ht="22.5" customHeight="1" thickTop="1" thickBot="1">
      <c r="A162" s="360">
        <v>1</v>
      </c>
      <c r="B162" s="360" t="s">
        <v>71</v>
      </c>
      <c r="C162" s="352" t="s">
        <v>85</v>
      </c>
      <c r="D162" s="352" t="s">
        <v>85</v>
      </c>
      <c r="E162" s="360" t="s">
        <v>85</v>
      </c>
      <c r="F162" s="352" t="s">
        <v>91</v>
      </c>
      <c r="G162" s="351" t="s">
        <v>71</v>
      </c>
      <c r="H162" s="352"/>
      <c r="I162" s="352"/>
      <c r="J162" s="357" t="s">
        <v>246</v>
      </c>
      <c r="K162" s="368"/>
      <c r="L162" s="368"/>
      <c r="M162" s="368"/>
      <c r="N162" s="368"/>
      <c r="O162" s="368"/>
      <c r="P162" s="368"/>
      <c r="Q162" s="368"/>
      <c r="R162" s="368"/>
      <c r="S162" s="368"/>
      <c r="T162" s="368"/>
      <c r="U162" s="364"/>
      <c r="V162" s="351"/>
      <c r="W162" s="360"/>
      <c r="X162" s="360"/>
      <c r="Y162" s="332" t="s">
        <v>70</v>
      </c>
    </row>
    <row r="163" spans="1:25" ht="22.5" customHeight="1" thickTop="1" thickBot="1">
      <c r="A163" s="360">
        <v>1</v>
      </c>
      <c r="B163" s="360" t="s">
        <v>71</v>
      </c>
      <c r="C163" s="352" t="s">
        <v>85</v>
      </c>
      <c r="D163" s="352" t="s">
        <v>85</v>
      </c>
      <c r="E163" s="360" t="s">
        <v>85</v>
      </c>
      <c r="F163" s="352" t="s">
        <v>91</v>
      </c>
      <c r="G163" s="351" t="s">
        <v>85</v>
      </c>
      <c r="H163" s="352"/>
      <c r="I163" s="352"/>
      <c r="J163" s="357" t="s">
        <v>247</v>
      </c>
      <c r="K163" s="368"/>
      <c r="L163" s="368"/>
      <c r="M163" s="368"/>
      <c r="N163" s="368"/>
      <c r="O163" s="368"/>
      <c r="P163" s="368"/>
      <c r="Q163" s="368"/>
      <c r="R163" s="368"/>
      <c r="S163" s="368"/>
      <c r="T163" s="368"/>
      <c r="U163" s="364"/>
      <c r="V163" s="351"/>
      <c r="W163" s="360"/>
      <c r="X163" s="360"/>
      <c r="Y163" s="332" t="s">
        <v>70</v>
      </c>
    </row>
    <row r="164" spans="1:25" ht="22.5" customHeight="1" thickTop="1" thickBot="1">
      <c r="A164" s="360">
        <v>1</v>
      </c>
      <c r="B164" s="360" t="s">
        <v>71</v>
      </c>
      <c r="C164" s="352" t="s">
        <v>85</v>
      </c>
      <c r="D164" s="352" t="s">
        <v>85</v>
      </c>
      <c r="E164" s="360" t="s">
        <v>85</v>
      </c>
      <c r="F164" s="351" t="s">
        <v>93</v>
      </c>
      <c r="G164" s="352"/>
      <c r="H164" s="352"/>
      <c r="I164" s="352"/>
      <c r="J164" s="353" t="s">
        <v>248</v>
      </c>
      <c r="K164" s="367"/>
      <c r="L164" s="367"/>
      <c r="M164" s="367"/>
      <c r="N164" s="367"/>
      <c r="O164" s="367"/>
      <c r="P164" s="367"/>
      <c r="Q164" s="367"/>
      <c r="R164" s="367"/>
      <c r="S164" s="367"/>
      <c r="T164" s="367"/>
      <c r="U164" s="362"/>
      <c r="V164" s="351"/>
      <c r="W164" s="360"/>
      <c r="X164" s="360"/>
      <c r="Y164" s="332" t="s">
        <v>70</v>
      </c>
    </row>
    <row r="165" spans="1:25" ht="22.5" customHeight="1" thickTop="1" thickBot="1">
      <c r="A165" s="360">
        <v>1</v>
      </c>
      <c r="B165" s="360" t="s">
        <v>71</v>
      </c>
      <c r="C165" s="352" t="s">
        <v>85</v>
      </c>
      <c r="D165" s="352" t="s">
        <v>85</v>
      </c>
      <c r="E165" s="360" t="s">
        <v>85</v>
      </c>
      <c r="F165" s="352" t="s">
        <v>93</v>
      </c>
      <c r="G165" s="351" t="s">
        <v>71</v>
      </c>
      <c r="H165" s="352"/>
      <c r="I165" s="352"/>
      <c r="J165" s="357" t="s">
        <v>249</v>
      </c>
      <c r="K165" s="368"/>
      <c r="L165" s="368"/>
      <c r="M165" s="368"/>
      <c r="N165" s="368"/>
      <c r="O165" s="368"/>
      <c r="P165" s="368"/>
      <c r="Q165" s="368"/>
      <c r="R165" s="368"/>
      <c r="S165" s="368"/>
      <c r="T165" s="368"/>
      <c r="U165" s="364"/>
      <c r="V165" s="351"/>
      <c r="W165" s="360"/>
      <c r="X165" s="360"/>
      <c r="Y165" s="332" t="s">
        <v>70</v>
      </c>
    </row>
    <row r="166" spans="1:25" ht="22.5" customHeight="1" thickTop="1" thickBot="1">
      <c r="A166" s="360">
        <v>1</v>
      </c>
      <c r="B166" s="360" t="s">
        <v>71</v>
      </c>
      <c r="C166" s="352" t="s">
        <v>85</v>
      </c>
      <c r="D166" s="352" t="s">
        <v>85</v>
      </c>
      <c r="E166" s="360" t="s">
        <v>85</v>
      </c>
      <c r="F166" s="352" t="s">
        <v>93</v>
      </c>
      <c r="G166" s="351" t="s">
        <v>85</v>
      </c>
      <c r="H166" s="352"/>
      <c r="I166" s="352"/>
      <c r="J166" s="357" t="s">
        <v>250</v>
      </c>
      <c r="K166" s="368"/>
      <c r="L166" s="368"/>
      <c r="M166" s="368"/>
      <c r="N166" s="368"/>
      <c r="O166" s="368"/>
      <c r="P166" s="368"/>
      <c r="Q166" s="368"/>
      <c r="R166" s="368"/>
      <c r="S166" s="368"/>
      <c r="T166" s="368"/>
      <c r="U166" s="364"/>
      <c r="V166" s="351"/>
      <c r="W166" s="360"/>
      <c r="X166" s="360"/>
      <c r="Y166" s="332" t="s">
        <v>70</v>
      </c>
    </row>
    <row r="167" spans="1:25" ht="22.5" customHeight="1" thickTop="1" thickBot="1">
      <c r="A167" s="360">
        <v>1</v>
      </c>
      <c r="B167" s="360" t="s">
        <v>71</v>
      </c>
      <c r="C167" s="352" t="s">
        <v>85</v>
      </c>
      <c r="D167" s="352" t="s">
        <v>85</v>
      </c>
      <c r="E167" s="360" t="s">
        <v>85</v>
      </c>
      <c r="F167" s="351" t="s">
        <v>95</v>
      </c>
      <c r="G167" s="352"/>
      <c r="H167" s="352"/>
      <c r="I167" s="352"/>
      <c r="J167" s="353" t="s">
        <v>251</v>
      </c>
      <c r="K167" s="367"/>
      <c r="L167" s="367"/>
      <c r="M167" s="367"/>
      <c r="N167" s="367"/>
      <c r="O167" s="367"/>
      <c r="P167" s="367"/>
      <c r="Q167" s="367"/>
      <c r="R167" s="367"/>
      <c r="S167" s="367"/>
      <c r="T167" s="367"/>
      <c r="U167" s="362"/>
      <c r="V167" s="351"/>
      <c r="W167" s="360"/>
      <c r="X167" s="360"/>
      <c r="Y167" s="332" t="s">
        <v>70</v>
      </c>
    </row>
    <row r="168" spans="1:25" ht="22.5" customHeight="1" thickTop="1" thickBot="1">
      <c r="A168" s="360">
        <v>1</v>
      </c>
      <c r="B168" s="360" t="s">
        <v>71</v>
      </c>
      <c r="C168" s="352" t="s">
        <v>85</v>
      </c>
      <c r="D168" s="352" t="s">
        <v>85</v>
      </c>
      <c r="E168" s="360" t="s">
        <v>85</v>
      </c>
      <c r="F168" s="352" t="s">
        <v>95</v>
      </c>
      <c r="G168" s="351" t="s">
        <v>71</v>
      </c>
      <c r="H168" s="352"/>
      <c r="I168" s="352"/>
      <c r="J168" s="357" t="s">
        <v>252</v>
      </c>
      <c r="K168" s="368"/>
      <c r="L168" s="368"/>
      <c r="M168" s="368"/>
      <c r="N168" s="368"/>
      <c r="O168" s="368"/>
      <c r="P168" s="368"/>
      <c r="Q168" s="368"/>
      <c r="R168" s="368"/>
      <c r="S168" s="368"/>
      <c r="T168" s="368"/>
      <c r="U168" s="364"/>
      <c r="V168" s="351"/>
      <c r="W168" s="360"/>
      <c r="X168" s="360"/>
      <c r="Y168" s="332" t="s">
        <v>70</v>
      </c>
    </row>
    <row r="169" spans="1:25" ht="22.5" customHeight="1" thickTop="1" thickBot="1">
      <c r="A169" s="360">
        <v>1</v>
      </c>
      <c r="B169" s="360" t="s">
        <v>71</v>
      </c>
      <c r="C169" s="352" t="s">
        <v>85</v>
      </c>
      <c r="D169" s="352" t="s">
        <v>85</v>
      </c>
      <c r="E169" s="360" t="s">
        <v>85</v>
      </c>
      <c r="F169" s="352" t="s">
        <v>95</v>
      </c>
      <c r="G169" s="351" t="s">
        <v>85</v>
      </c>
      <c r="H169" s="352"/>
      <c r="I169" s="352"/>
      <c r="J169" s="357" t="s">
        <v>253</v>
      </c>
      <c r="K169" s="368"/>
      <c r="L169" s="368"/>
      <c r="M169" s="368"/>
      <c r="N169" s="368"/>
      <c r="O169" s="368"/>
      <c r="P169" s="368"/>
      <c r="Q169" s="368"/>
      <c r="R169" s="368"/>
      <c r="S169" s="368"/>
      <c r="T169" s="368"/>
      <c r="U169" s="364"/>
      <c r="V169" s="351"/>
      <c r="W169" s="360"/>
      <c r="X169" s="360"/>
      <c r="Y169" s="332" t="s">
        <v>70</v>
      </c>
    </row>
    <row r="170" spans="1:25" ht="22.5" customHeight="1" thickTop="1" thickBot="1">
      <c r="A170" s="360">
        <v>1</v>
      </c>
      <c r="B170" s="360" t="s">
        <v>71</v>
      </c>
      <c r="C170" s="352" t="s">
        <v>85</v>
      </c>
      <c r="D170" s="352" t="s">
        <v>85</v>
      </c>
      <c r="E170" s="360" t="s">
        <v>85</v>
      </c>
      <c r="F170" s="351" t="s">
        <v>97</v>
      </c>
      <c r="G170" s="352"/>
      <c r="H170" s="352"/>
      <c r="I170" s="352"/>
      <c r="J170" s="353" t="s">
        <v>254</v>
      </c>
      <c r="K170" s="367"/>
      <c r="L170" s="367"/>
      <c r="M170" s="367"/>
      <c r="N170" s="367"/>
      <c r="O170" s="367"/>
      <c r="P170" s="367"/>
      <c r="Q170" s="367"/>
      <c r="R170" s="367"/>
      <c r="S170" s="367"/>
      <c r="T170" s="367"/>
      <c r="U170" s="362"/>
      <c r="V170" s="351"/>
      <c r="W170" s="360"/>
      <c r="X170" s="360"/>
      <c r="Y170" s="332" t="s">
        <v>70</v>
      </c>
    </row>
    <row r="171" spans="1:25" ht="22.5" customHeight="1" thickTop="1" thickBot="1">
      <c r="A171" s="360">
        <v>1</v>
      </c>
      <c r="B171" s="360" t="s">
        <v>71</v>
      </c>
      <c r="C171" s="352" t="s">
        <v>85</v>
      </c>
      <c r="D171" s="352" t="s">
        <v>85</v>
      </c>
      <c r="E171" s="360" t="s">
        <v>85</v>
      </c>
      <c r="F171" s="352" t="s">
        <v>97</v>
      </c>
      <c r="G171" s="351" t="s">
        <v>71</v>
      </c>
      <c r="H171" s="352"/>
      <c r="I171" s="352"/>
      <c r="J171" s="357" t="s">
        <v>255</v>
      </c>
      <c r="K171" s="368"/>
      <c r="L171" s="368"/>
      <c r="M171" s="368"/>
      <c r="N171" s="368"/>
      <c r="O171" s="368"/>
      <c r="P171" s="368"/>
      <c r="Q171" s="368"/>
      <c r="R171" s="368"/>
      <c r="S171" s="368"/>
      <c r="T171" s="368"/>
      <c r="U171" s="364"/>
      <c r="V171" s="351"/>
      <c r="W171" s="360"/>
      <c r="X171" s="360"/>
      <c r="Y171" s="332" t="s">
        <v>70</v>
      </c>
    </row>
    <row r="172" spans="1:25" ht="22.5" customHeight="1" thickTop="1" thickBot="1">
      <c r="A172" s="360">
        <v>1</v>
      </c>
      <c r="B172" s="360" t="s">
        <v>71</v>
      </c>
      <c r="C172" s="352" t="s">
        <v>85</v>
      </c>
      <c r="D172" s="352" t="s">
        <v>85</v>
      </c>
      <c r="E172" s="360" t="s">
        <v>85</v>
      </c>
      <c r="F172" s="352" t="s">
        <v>97</v>
      </c>
      <c r="G172" s="351" t="s">
        <v>85</v>
      </c>
      <c r="H172" s="352"/>
      <c r="I172" s="352"/>
      <c r="J172" s="357" t="s">
        <v>256</v>
      </c>
      <c r="K172" s="368"/>
      <c r="L172" s="368"/>
      <c r="M172" s="368"/>
      <c r="N172" s="368"/>
      <c r="O172" s="368"/>
      <c r="P172" s="368"/>
      <c r="Q172" s="368"/>
      <c r="R172" s="368"/>
      <c r="S172" s="368"/>
      <c r="T172" s="368"/>
      <c r="U172" s="364"/>
      <c r="V172" s="351"/>
      <c r="W172" s="360"/>
      <c r="X172" s="360"/>
      <c r="Y172" s="332" t="s">
        <v>70</v>
      </c>
    </row>
    <row r="173" spans="1:25" ht="22.5" customHeight="1" thickTop="1" thickBot="1">
      <c r="A173" s="345" t="s">
        <v>67</v>
      </c>
      <c r="B173" s="346" t="s">
        <v>71</v>
      </c>
      <c r="C173" s="346" t="s">
        <v>85</v>
      </c>
      <c r="D173" s="346" t="s">
        <v>87</v>
      </c>
      <c r="E173" s="346"/>
      <c r="F173" s="347"/>
      <c r="G173" s="347"/>
      <c r="H173" s="347"/>
      <c r="I173" s="347"/>
      <c r="J173" s="348" t="s">
        <v>257</v>
      </c>
      <c r="K173" s="349"/>
      <c r="L173" s="349"/>
      <c r="M173" s="349"/>
      <c r="N173" s="349"/>
      <c r="O173" s="349"/>
      <c r="P173" s="349"/>
      <c r="Q173" s="349"/>
      <c r="R173" s="349"/>
      <c r="S173" s="349"/>
      <c r="T173" s="349"/>
      <c r="U173" s="350"/>
      <c r="V173" s="346"/>
      <c r="W173" s="345" t="s">
        <v>258</v>
      </c>
      <c r="X173" s="345" t="s">
        <v>259</v>
      </c>
      <c r="Y173" s="332" t="s">
        <v>70</v>
      </c>
    </row>
    <row r="174" spans="1:25" s="144" customFormat="1" ht="22.5" customHeight="1" thickTop="1" thickBot="1">
      <c r="A174" s="351" t="s">
        <v>67</v>
      </c>
      <c r="B174" s="351" t="s">
        <v>71</v>
      </c>
      <c r="C174" s="351" t="s">
        <v>85</v>
      </c>
      <c r="D174" s="351" t="s">
        <v>87</v>
      </c>
      <c r="E174" s="351" t="s">
        <v>71</v>
      </c>
      <c r="F174" s="351"/>
      <c r="G174" s="351"/>
      <c r="H174" s="352"/>
      <c r="I174" s="352"/>
      <c r="J174" s="353" t="s">
        <v>260</v>
      </c>
      <c r="K174" s="367"/>
      <c r="L174" s="367"/>
      <c r="M174" s="367"/>
      <c r="N174" s="367"/>
      <c r="O174" s="367"/>
      <c r="P174" s="367"/>
      <c r="Q174" s="367"/>
      <c r="R174" s="367"/>
      <c r="S174" s="367"/>
      <c r="T174" s="367"/>
      <c r="U174" s="362"/>
      <c r="V174" s="356"/>
      <c r="W174" s="356" t="s">
        <v>261</v>
      </c>
      <c r="X174" s="356" t="s">
        <v>262</v>
      </c>
      <c r="Y174" s="332" t="s">
        <v>70</v>
      </c>
    </row>
    <row r="175" spans="1:25" ht="22.5" customHeight="1" thickTop="1" thickBot="1">
      <c r="A175" s="360" t="s">
        <v>67</v>
      </c>
      <c r="B175" s="352" t="s">
        <v>71</v>
      </c>
      <c r="C175" s="352" t="s">
        <v>85</v>
      </c>
      <c r="D175" s="352" t="s">
        <v>87</v>
      </c>
      <c r="E175" s="352" t="s">
        <v>71</v>
      </c>
      <c r="F175" s="351" t="s">
        <v>71</v>
      </c>
      <c r="G175" s="352"/>
      <c r="H175" s="352"/>
      <c r="I175" s="352"/>
      <c r="J175" s="353" t="s">
        <v>263</v>
      </c>
      <c r="K175" s="367"/>
      <c r="L175" s="367"/>
      <c r="M175" s="367"/>
      <c r="N175" s="367"/>
      <c r="O175" s="367"/>
      <c r="P175" s="367"/>
      <c r="Q175" s="367"/>
      <c r="R175" s="367"/>
      <c r="S175" s="367"/>
      <c r="T175" s="367"/>
      <c r="U175" s="362"/>
      <c r="V175" s="360"/>
      <c r="W175" s="360" t="s">
        <v>264</v>
      </c>
      <c r="X175" s="360" t="s">
        <v>265</v>
      </c>
      <c r="Y175" s="332" t="s">
        <v>70</v>
      </c>
    </row>
    <row r="176" spans="1:25" ht="22.5" customHeight="1" thickTop="1" thickBot="1">
      <c r="A176" s="360" t="s">
        <v>67</v>
      </c>
      <c r="B176" s="352" t="s">
        <v>71</v>
      </c>
      <c r="C176" s="352" t="s">
        <v>85</v>
      </c>
      <c r="D176" s="352" t="s">
        <v>87</v>
      </c>
      <c r="E176" s="352" t="s">
        <v>71</v>
      </c>
      <c r="F176" s="352" t="s">
        <v>71</v>
      </c>
      <c r="G176" s="351" t="s">
        <v>71</v>
      </c>
      <c r="H176" s="352"/>
      <c r="I176" s="352"/>
      <c r="J176" s="357" t="s">
        <v>266</v>
      </c>
      <c r="K176" s="367"/>
      <c r="L176" s="367"/>
      <c r="M176" s="367"/>
      <c r="N176" s="367"/>
      <c r="O176" s="367"/>
      <c r="P176" s="367"/>
      <c r="Q176" s="367"/>
      <c r="R176" s="367"/>
      <c r="S176" s="367"/>
      <c r="T176" s="367"/>
      <c r="U176" s="362"/>
      <c r="V176" s="360"/>
      <c r="W176" s="360"/>
      <c r="X176" s="360"/>
      <c r="Y176" s="332" t="s">
        <v>70</v>
      </c>
    </row>
    <row r="177" spans="1:25" ht="22.5" customHeight="1" thickTop="1" thickBot="1">
      <c r="A177" s="360" t="s">
        <v>67</v>
      </c>
      <c r="B177" s="352" t="s">
        <v>71</v>
      </c>
      <c r="C177" s="352" t="s">
        <v>85</v>
      </c>
      <c r="D177" s="352" t="s">
        <v>87</v>
      </c>
      <c r="E177" s="352" t="s">
        <v>71</v>
      </c>
      <c r="F177" s="352" t="s">
        <v>71</v>
      </c>
      <c r="G177" s="351" t="s">
        <v>85</v>
      </c>
      <c r="H177" s="352"/>
      <c r="I177" s="352"/>
      <c r="J177" s="357" t="s">
        <v>267</v>
      </c>
      <c r="K177" s="368"/>
      <c r="L177" s="368"/>
      <c r="M177" s="368"/>
      <c r="N177" s="368"/>
      <c r="O177" s="368"/>
      <c r="P177" s="368"/>
      <c r="Q177" s="368"/>
      <c r="R177" s="368"/>
      <c r="S177" s="368"/>
      <c r="T177" s="368"/>
      <c r="U177" s="364"/>
      <c r="V177" s="360"/>
      <c r="W177" s="360"/>
      <c r="X177" s="360"/>
      <c r="Y177" s="332" t="s">
        <v>70</v>
      </c>
    </row>
    <row r="178" spans="1:25" ht="22.5" customHeight="1" thickTop="1" thickBot="1">
      <c r="A178" s="360" t="s">
        <v>67</v>
      </c>
      <c r="B178" s="352" t="s">
        <v>71</v>
      </c>
      <c r="C178" s="352" t="s">
        <v>85</v>
      </c>
      <c r="D178" s="352" t="s">
        <v>87</v>
      </c>
      <c r="E178" s="352" t="s">
        <v>71</v>
      </c>
      <c r="F178" s="352" t="s">
        <v>71</v>
      </c>
      <c r="G178" s="351" t="s">
        <v>87</v>
      </c>
      <c r="H178" s="352"/>
      <c r="I178" s="352"/>
      <c r="J178" s="357" t="s">
        <v>268</v>
      </c>
      <c r="K178" s="368"/>
      <c r="L178" s="368"/>
      <c r="M178" s="368"/>
      <c r="N178" s="368"/>
      <c r="O178" s="368"/>
      <c r="P178" s="368"/>
      <c r="Q178" s="368"/>
      <c r="R178" s="368"/>
      <c r="S178" s="368"/>
      <c r="T178" s="368"/>
      <c r="U178" s="364"/>
      <c r="V178" s="360"/>
      <c r="W178" s="360"/>
      <c r="X178" s="360"/>
      <c r="Y178" s="332"/>
    </row>
    <row r="179" spans="1:25" ht="22.5" customHeight="1" thickTop="1" thickBot="1">
      <c r="A179" s="360" t="s">
        <v>67</v>
      </c>
      <c r="B179" s="352" t="s">
        <v>71</v>
      </c>
      <c r="C179" s="352" t="s">
        <v>85</v>
      </c>
      <c r="D179" s="352" t="s">
        <v>87</v>
      </c>
      <c r="E179" s="352" t="s">
        <v>71</v>
      </c>
      <c r="F179" s="352" t="s">
        <v>71</v>
      </c>
      <c r="G179" s="351" t="s">
        <v>89</v>
      </c>
      <c r="H179" s="352"/>
      <c r="I179" s="352"/>
      <c r="J179" s="357" t="s">
        <v>269</v>
      </c>
      <c r="K179" s="368"/>
      <c r="L179" s="368"/>
      <c r="M179" s="368"/>
      <c r="N179" s="368"/>
      <c r="O179" s="368"/>
      <c r="P179" s="368"/>
      <c r="Q179" s="368"/>
      <c r="R179" s="368"/>
      <c r="S179" s="368"/>
      <c r="T179" s="368"/>
      <c r="U179" s="364"/>
      <c r="V179" s="360"/>
      <c r="W179" s="360"/>
      <c r="X179" s="360"/>
      <c r="Y179" s="332"/>
    </row>
    <row r="180" spans="1:25" ht="22.5" customHeight="1" thickTop="1" thickBot="1">
      <c r="A180" s="360" t="s">
        <v>67</v>
      </c>
      <c r="B180" s="352" t="s">
        <v>71</v>
      </c>
      <c r="C180" s="352" t="s">
        <v>85</v>
      </c>
      <c r="D180" s="352" t="s">
        <v>87</v>
      </c>
      <c r="E180" s="352" t="s">
        <v>71</v>
      </c>
      <c r="F180" s="352" t="s">
        <v>71</v>
      </c>
      <c r="G180" s="351" t="s">
        <v>91</v>
      </c>
      <c r="H180" s="352"/>
      <c r="I180" s="352"/>
      <c r="J180" s="357" t="s">
        <v>270</v>
      </c>
      <c r="K180" s="368"/>
      <c r="L180" s="368"/>
      <c r="M180" s="368"/>
      <c r="N180" s="368"/>
      <c r="O180" s="368"/>
      <c r="P180" s="368"/>
      <c r="Q180" s="368"/>
      <c r="R180" s="368"/>
      <c r="S180" s="368"/>
      <c r="T180" s="368"/>
      <c r="U180" s="364"/>
      <c r="V180" s="360"/>
      <c r="W180" s="360"/>
      <c r="X180" s="360"/>
      <c r="Y180" s="332"/>
    </row>
    <row r="181" spans="1:25" ht="22.5" customHeight="1" thickTop="1" thickBot="1">
      <c r="A181" s="360" t="s">
        <v>67</v>
      </c>
      <c r="B181" s="352" t="s">
        <v>71</v>
      </c>
      <c r="C181" s="352" t="s">
        <v>85</v>
      </c>
      <c r="D181" s="352" t="s">
        <v>87</v>
      </c>
      <c r="E181" s="352" t="s">
        <v>71</v>
      </c>
      <c r="F181" s="352" t="s">
        <v>71</v>
      </c>
      <c r="G181" s="351" t="s">
        <v>93</v>
      </c>
      <c r="H181" s="352"/>
      <c r="I181" s="352"/>
      <c r="J181" s="357" t="s">
        <v>271</v>
      </c>
      <c r="K181" s="368"/>
      <c r="L181" s="368"/>
      <c r="M181" s="368"/>
      <c r="N181" s="368"/>
      <c r="O181" s="368"/>
      <c r="P181" s="368"/>
      <c r="Q181" s="368"/>
      <c r="R181" s="368"/>
      <c r="S181" s="368"/>
      <c r="T181" s="368"/>
      <c r="U181" s="364"/>
      <c r="V181" s="360"/>
      <c r="W181" s="360"/>
      <c r="X181" s="360"/>
      <c r="Y181" s="332"/>
    </row>
    <row r="182" spans="1:25" ht="22.5" customHeight="1" thickTop="1" thickBot="1">
      <c r="A182" s="360" t="s">
        <v>67</v>
      </c>
      <c r="B182" s="352" t="s">
        <v>71</v>
      </c>
      <c r="C182" s="352" t="s">
        <v>85</v>
      </c>
      <c r="D182" s="352" t="s">
        <v>87</v>
      </c>
      <c r="E182" s="352" t="s">
        <v>71</v>
      </c>
      <c r="F182" s="352" t="s">
        <v>71</v>
      </c>
      <c r="G182" s="351" t="s">
        <v>95</v>
      </c>
      <c r="H182" s="352"/>
      <c r="I182" s="352"/>
      <c r="J182" s="357" t="s">
        <v>272</v>
      </c>
      <c r="K182" s="368"/>
      <c r="L182" s="368"/>
      <c r="M182" s="368"/>
      <c r="N182" s="368"/>
      <c r="O182" s="368"/>
      <c r="P182" s="368"/>
      <c r="Q182" s="368"/>
      <c r="R182" s="368"/>
      <c r="S182" s="368"/>
      <c r="T182" s="368"/>
      <c r="U182" s="364"/>
      <c r="V182" s="360"/>
      <c r="W182" s="360"/>
      <c r="X182" s="360"/>
      <c r="Y182" s="332"/>
    </row>
    <row r="183" spans="1:25" ht="22.5" customHeight="1" thickTop="1" thickBot="1">
      <c r="A183" s="360" t="s">
        <v>67</v>
      </c>
      <c r="B183" s="352" t="s">
        <v>71</v>
      </c>
      <c r="C183" s="352" t="s">
        <v>85</v>
      </c>
      <c r="D183" s="352" t="s">
        <v>87</v>
      </c>
      <c r="E183" s="352" t="s">
        <v>71</v>
      </c>
      <c r="F183" s="352" t="s">
        <v>71</v>
      </c>
      <c r="G183" s="351" t="s">
        <v>97</v>
      </c>
      <c r="H183" s="352"/>
      <c r="I183" s="352"/>
      <c r="J183" s="357" t="s">
        <v>269</v>
      </c>
      <c r="K183" s="368"/>
      <c r="L183" s="368"/>
      <c r="M183" s="368"/>
      <c r="N183" s="368"/>
      <c r="O183" s="368"/>
      <c r="P183" s="368"/>
      <c r="Q183" s="368"/>
      <c r="R183" s="368"/>
      <c r="S183" s="368"/>
      <c r="T183" s="368"/>
      <c r="U183" s="364"/>
      <c r="V183" s="360"/>
      <c r="W183" s="360"/>
      <c r="X183" s="360"/>
      <c r="Y183" s="332"/>
    </row>
    <row r="184" spans="1:25" s="411" customFormat="1" ht="22.5" customHeight="1" thickTop="1" thickBot="1">
      <c r="A184" s="404" t="s">
        <v>67</v>
      </c>
      <c r="B184" s="405" t="s">
        <v>71</v>
      </c>
      <c r="C184" s="405" t="s">
        <v>85</v>
      </c>
      <c r="D184" s="405" t="s">
        <v>87</v>
      </c>
      <c r="E184" s="405" t="s">
        <v>71</v>
      </c>
      <c r="F184" s="406" t="s">
        <v>85</v>
      </c>
      <c r="G184" s="405"/>
      <c r="H184" s="405"/>
      <c r="I184" s="405"/>
      <c r="J184" s="407" t="s">
        <v>273</v>
      </c>
      <c r="K184" s="408"/>
      <c r="L184" s="408"/>
      <c r="M184" s="408"/>
      <c r="N184" s="408"/>
      <c r="O184" s="408"/>
      <c r="P184" s="408"/>
      <c r="Q184" s="408"/>
      <c r="R184" s="408"/>
      <c r="S184" s="408"/>
      <c r="T184" s="408"/>
      <c r="U184" s="409"/>
      <c r="V184" s="404"/>
      <c r="W184" s="404" t="s">
        <v>274</v>
      </c>
      <c r="X184" s="404" t="s">
        <v>275</v>
      </c>
      <c r="Y184" s="410" t="s">
        <v>70</v>
      </c>
    </row>
    <row r="185" spans="1:25" ht="22.5" customHeight="1" thickTop="1" thickBot="1">
      <c r="A185" s="360"/>
      <c r="B185" s="352"/>
      <c r="C185" s="352"/>
      <c r="D185" s="352"/>
      <c r="E185" s="352"/>
      <c r="F185" s="352"/>
      <c r="G185" s="351"/>
      <c r="H185" s="352"/>
      <c r="I185" s="352"/>
      <c r="J185" s="357"/>
      <c r="K185" s="368"/>
      <c r="L185" s="368"/>
      <c r="M185" s="368"/>
      <c r="N185" s="368"/>
      <c r="O185" s="368"/>
      <c r="P185" s="368"/>
      <c r="Q185" s="368"/>
      <c r="R185" s="368"/>
      <c r="S185" s="368"/>
      <c r="T185" s="368"/>
      <c r="U185" s="364"/>
      <c r="V185" s="360"/>
      <c r="W185" s="360"/>
      <c r="X185" s="360"/>
      <c r="Y185" s="332"/>
    </row>
    <row r="186" spans="1:25" ht="22.5" customHeight="1" thickTop="1" thickBot="1">
      <c r="A186" s="345" t="s">
        <v>67</v>
      </c>
      <c r="B186" s="346" t="s">
        <v>71</v>
      </c>
      <c r="C186" s="346" t="s">
        <v>85</v>
      </c>
      <c r="D186" s="346" t="s">
        <v>89</v>
      </c>
      <c r="E186" s="346"/>
      <c r="F186" s="347"/>
      <c r="G186" s="347"/>
      <c r="H186" s="347"/>
      <c r="I186" s="347"/>
      <c r="J186" s="348" t="s">
        <v>276</v>
      </c>
      <c r="K186" s="366"/>
      <c r="L186" s="366"/>
      <c r="M186" s="366"/>
      <c r="N186" s="366"/>
      <c r="O186" s="366"/>
      <c r="P186" s="366"/>
      <c r="Q186" s="366"/>
      <c r="R186" s="366"/>
      <c r="S186" s="366"/>
      <c r="T186" s="366"/>
      <c r="U186" s="350"/>
      <c r="V186" s="346"/>
      <c r="W186" s="345" t="s">
        <v>215</v>
      </c>
      <c r="X186" s="345" t="s">
        <v>216</v>
      </c>
      <c r="Y186" s="332" t="s">
        <v>70</v>
      </c>
    </row>
    <row r="187" spans="1:25" s="144" customFormat="1" ht="22.5" customHeight="1" thickTop="1" thickBot="1">
      <c r="A187" s="356" t="s">
        <v>67</v>
      </c>
      <c r="B187" s="356" t="s">
        <v>71</v>
      </c>
      <c r="C187" s="351" t="s">
        <v>85</v>
      </c>
      <c r="D187" s="351" t="s">
        <v>89</v>
      </c>
      <c r="E187" s="351" t="s">
        <v>71</v>
      </c>
      <c r="F187" s="351"/>
      <c r="G187" s="351"/>
      <c r="H187" s="352"/>
      <c r="I187" s="352"/>
      <c r="J187" s="353" t="s">
        <v>277</v>
      </c>
      <c r="K187" s="367"/>
      <c r="L187" s="367"/>
      <c r="M187" s="367"/>
      <c r="N187" s="367"/>
      <c r="O187" s="367"/>
      <c r="P187" s="367"/>
      <c r="Q187" s="367"/>
      <c r="R187" s="367"/>
      <c r="S187" s="367"/>
      <c r="T187" s="367"/>
      <c r="U187" s="362"/>
      <c r="V187" s="351"/>
      <c r="W187" s="356" t="s">
        <v>278</v>
      </c>
      <c r="X187" s="356"/>
      <c r="Y187" s="332" t="s">
        <v>70</v>
      </c>
    </row>
    <row r="188" spans="1:25" s="144" customFormat="1" ht="22.5" customHeight="1" thickTop="1" thickBot="1">
      <c r="A188" s="360" t="s">
        <v>67</v>
      </c>
      <c r="B188" s="360" t="s">
        <v>71</v>
      </c>
      <c r="C188" s="352" t="s">
        <v>85</v>
      </c>
      <c r="D188" s="352" t="s">
        <v>89</v>
      </c>
      <c r="E188" s="360" t="s">
        <v>71</v>
      </c>
      <c r="F188" s="351" t="s">
        <v>71</v>
      </c>
      <c r="G188" s="351"/>
      <c r="H188" s="352"/>
      <c r="I188" s="352"/>
      <c r="J188" s="353" t="s">
        <v>279</v>
      </c>
      <c r="K188" s="367"/>
      <c r="L188" s="367"/>
      <c r="M188" s="367"/>
      <c r="N188" s="367"/>
      <c r="O188" s="367"/>
      <c r="P188" s="367"/>
      <c r="Q188" s="367"/>
      <c r="R188" s="367"/>
      <c r="S188" s="367"/>
      <c r="T188" s="367"/>
      <c r="U188" s="362"/>
      <c r="V188" s="351"/>
      <c r="W188" s="356"/>
      <c r="X188" s="356"/>
      <c r="Y188" s="332"/>
    </row>
    <row r="189" spans="1:25" ht="22.5" customHeight="1" thickTop="1" thickBot="1">
      <c r="A189" s="360" t="s">
        <v>67</v>
      </c>
      <c r="B189" s="360" t="s">
        <v>71</v>
      </c>
      <c r="C189" s="352" t="s">
        <v>85</v>
      </c>
      <c r="D189" s="352" t="s">
        <v>89</v>
      </c>
      <c r="E189" s="360" t="s">
        <v>71</v>
      </c>
      <c r="F189" s="352" t="s">
        <v>71</v>
      </c>
      <c r="G189" s="351" t="s">
        <v>71</v>
      </c>
      <c r="H189" s="352"/>
      <c r="I189" s="352"/>
      <c r="J189" s="353" t="s">
        <v>280</v>
      </c>
      <c r="K189" s="367"/>
      <c r="L189" s="367"/>
      <c r="M189" s="367"/>
      <c r="N189" s="367"/>
      <c r="O189" s="367"/>
      <c r="P189" s="367"/>
      <c r="Q189" s="367"/>
      <c r="R189" s="367"/>
      <c r="S189" s="367"/>
      <c r="T189" s="367"/>
      <c r="U189" s="362"/>
      <c r="V189" s="351"/>
      <c r="W189" s="360" t="s">
        <v>218</v>
      </c>
      <c r="X189" s="360"/>
      <c r="Y189" s="332" t="s">
        <v>70</v>
      </c>
    </row>
    <row r="190" spans="1:25" ht="22.5" customHeight="1" thickTop="1" thickBot="1">
      <c r="A190" s="360" t="s">
        <v>67</v>
      </c>
      <c r="B190" s="360" t="s">
        <v>71</v>
      </c>
      <c r="C190" s="352" t="s">
        <v>85</v>
      </c>
      <c r="D190" s="352" t="s">
        <v>89</v>
      </c>
      <c r="E190" s="360" t="s">
        <v>71</v>
      </c>
      <c r="F190" s="352" t="s">
        <v>71</v>
      </c>
      <c r="G190" s="352" t="s">
        <v>71</v>
      </c>
      <c r="H190" s="352" t="s">
        <v>71</v>
      </c>
      <c r="I190" s="352"/>
      <c r="J190" s="353" t="s">
        <v>281</v>
      </c>
      <c r="K190" s="368"/>
      <c r="L190" s="368"/>
      <c r="M190" s="368"/>
      <c r="N190" s="368"/>
      <c r="O190" s="368"/>
      <c r="P190" s="368"/>
      <c r="Q190" s="368"/>
      <c r="R190" s="368"/>
      <c r="S190" s="368"/>
      <c r="T190" s="368"/>
      <c r="U190" s="362"/>
      <c r="V190" s="351"/>
      <c r="W190" s="360"/>
      <c r="X190" s="360"/>
      <c r="Y190" s="332" t="s">
        <v>70</v>
      </c>
    </row>
    <row r="191" spans="1:25" ht="22.5" customHeight="1" thickTop="1" thickBot="1">
      <c r="A191" s="360" t="s">
        <v>67</v>
      </c>
      <c r="B191" s="360" t="s">
        <v>71</v>
      </c>
      <c r="C191" s="352" t="s">
        <v>85</v>
      </c>
      <c r="D191" s="352" t="s">
        <v>89</v>
      </c>
      <c r="E191" s="360" t="s">
        <v>71</v>
      </c>
      <c r="F191" s="352" t="s">
        <v>71</v>
      </c>
      <c r="G191" s="352" t="s">
        <v>71</v>
      </c>
      <c r="H191" s="352" t="s">
        <v>71</v>
      </c>
      <c r="I191" s="352" t="s">
        <v>71</v>
      </c>
      <c r="J191" s="357" t="s">
        <v>282</v>
      </c>
      <c r="K191" s="368"/>
      <c r="L191" s="368"/>
      <c r="M191" s="368"/>
      <c r="N191" s="368"/>
      <c r="O191" s="368"/>
      <c r="P191" s="368"/>
      <c r="Q191" s="368"/>
      <c r="R191" s="368"/>
      <c r="S191" s="368"/>
      <c r="T191" s="368"/>
      <c r="U191" s="364"/>
      <c r="V191" s="351"/>
      <c r="W191" s="360"/>
      <c r="X191" s="360"/>
      <c r="Y191" s="332"/>
    </row>
    <row r="192" spans="1:25" ht="22.5" customHeight="1" thickTop="1" thickBot="1">
      <c r="A192" s="360" t="s">
        <v>67</v>
      </c>
      <c r="B192" s="360" t="s">
        <v>71</v>
      </c>
      <c r="C192" s="352" t="s">
        <v>85</v>
      </c>
      <c r="D192" s="352" t="s">
        <v>89</v>
      </c>
      <c r="E192" s="360" t="s">
        <v>71</v>
      </c>
      <c r="F192" s="352" t="s">
        <v>71</v>
      </c>
      <c r="G192" s="352" t="s">
        <v>71</v>
      </c>
      <c r="H192" s="352" t="s">
        <v>71</v>
      </c>
      <c r="I192" s="352" t="s">
        <v>85</v>
      </c>
      <c r="J192" s="357" t="s">
        <v>283</v>
      </c>
      <c r="K192" s="368"/>
      <c r="L192" s="368"/>
      <c r="M192" s="368"/>
      <c r="N192" s="368"/>
      <c r="O192" s="368"/>
      <c r="P192" s="368"/>
      <c r="Q192" s="368"/>
      <c r="R192" s="368"/>
      <c r="S192" s="368"/>
      <c r="T192" s="368"/>
      <c r="U192" s="364"/>
      <c r="V192" s="351"/>
      <c r="W192" s="360"/>
      <c r="X192" s="360"/>
      <c r="Y192" s="332"/>
    </row>
    <row r="193" spans="1:25" ht="22.5" customHeight="1" thickTop="1" thickBot="1">
      <c r="A193" s="360" t="s">
        <v>67</v>
      </c>
      <c r="B193" s="360" t="s">
        <v>71</v>
      </c>
      <c r="C193" s="352" t="s">
        <v>85</v>
      </c>
      <c r="D193" s="352" t="s">
        <v>89</v>
      </c>
      <c r="E193" s="360" t="s">
        <v>71</v>
      </c>
      <c r="F193" s="352" t="s">
        <v>71</v>
      </c>
      <c r="G193" s="352" t="s">
        <v>71</v>
      </c>
      <c r="H193" s="352" t="s">
        <v>85</v>
      </c>
      <c r="I193" s="352"/>
      <c r="J193" s="353" t="s">
        <v>284</v>
      </c>
      <c r="K193" s="368"/>
      <c r="L193" s="368"/>
      <c r="M193" s="368"/>
      <c r="N193" s="368"/>
      <c r="O193" s="368"/>
      <c r="P193" s="368"/>
      <c r="Q193" s="368"/>
      <c r="R193" s="368"/>
      <c r="S193" s="368"/>
      <c r="T193" s="368"/>
      <c r="U193" s="362"/>
      <c r="V193" s="351"/>
      <c r="W193" s="360"/>
      <c r="X193" s="360"/>
      <c r="Y193" s="332" t="s">
        <v>70</v>
      </c>
    </row>
    <row r="194" spans="1:25" ht="22.5" customHeight="1" thickTop="1" thickBot="1">
      <c r="A194" s="360" t="s">
        <v>67</v>
      </c>
      <c r="B194" s="360" t="s">
        <v>71</v>
      </c>
      <c r="C194" s="352" t="s">
        <v>85</v>
      </c>
      <c r="D194" s="352" t="s">
        <v>89</v>
      </c>
      <c r="E194" s="360" t="s">
        <v>71</v>
      </c>
      <c r="F194" s="352" t="s">
        <v>71</v>
      </c>
      <c r="G194" s="352" t="s">
        <v>71</v>
      </c>
      <c r="H194" s="352" t="s">
        <v>85</v>
      </c>
      <c r="I194" s="352" t="s">
        <v>71</v>
      </c>
      <c r="J194" s="357" t="s">
        <v>285</v>
      </c>
      <c r="K194" s="368"/>
      <c r="L194" s="368"/>
      <c r="M194" s="368"/>
      <c r="N194" s="368"/>
      <c r="O194" s="368"/>
      <c r="P194" s="368"/>
      <c r="Q194" s="368"/>
      <c r="R194" s="368"/>
      <c r="S194" s="368"/>
      <c r="T194" s="368"/>
      <c r="U194" s="364"/>
      <c r="V194" s="351"/>
      <c r="W194" s="360"/>
      <c r="X194" s="360"/>
      <c r="Y194" s="332"/>
    </row>
    <row r="195" spans="1:25" ht="22.5" customHeight="1" thickTop="1" thickBot="1">
      <c r="A195" s="360" t="s">
        <v>67</v>
      </c>
      <c r="B195" s="360" t="s">
        <v>71</v>
      </c>
      <c r="C195" s="352" t="s">
        <v>85</v>
      </c>
      <c r="D195" s="352" t="s">
        <v>89</v>
      </c>
      <c r="E195" s="360" t="s">
        <v>71</v>
      </c>
      <c r="F195" s="352" t="s">
        <v>71</v>
      </c>
      <c r="G195" s="352" t="s">
        <v>71</v>
      </c>
      <c r="H195" s="352" t="s">
        <v>85</v>
      </c>
      <c r="I195" s="352" t="s">
        <v>85</v>
      </c>
      <c r="J195" s="357" t="s">
        <v>286</v>
      </c>
      <c r="K195" s="368"/>
      <c r="L195" s="368"/>
      <c r="M195" s="368"/>
      <c r="N195" s="368"/>
      <c r="O195" s="368"/>
      <c r="P195" s="368"/>
      <c r="Q195" s="368"/>
      <c r="R195" s="368"/>
      <c r="S195" s="368"/>
      <c r="T195" s="368"/>
      <c r="U195" s="364"/>
      <c r="V195" s="351"/>
      <c r="W195" s="360"/>
      <c r="X195" s="360"/>
      <c r="Y195" s="332"/>
    </row>
    <row r="196" spans="1:25" ht="22.5" customHeight="1" thickTop="1" thickBot="1">
      <c r="A196" s="360" t="s">
        <v>67</v>
      </c>
      <c r="B196" s="360" t="s">
        <v>71</v>
      </c>
      <c r="C196" s="352" t="s">
        <v>85</v>
      </c>
      <c r="D196" s="352" t="s">
        <v>89</v>
      </c>
      <c r="E196" s="360" t="s">
        <v>71</v>
      </c>
      <c r="F196" s="351" t="s">
        <v>85</v>
      </c>
      <c r="G196" s="352"/>
      <c r="H196" s="352"/>
      <c r="I196" s="352"/>
      <c r="J196" s="353" t="s">
        <v>287</v>
      </c>
      <c r="K196" s="368"/>
      <c r="L196" s="368"/>
      <c r="M196" s="368"/>
      <c r="N196" s="368"/>
      <c r="O196" s="368"/>
      <c r="P196" s="368"/>
      <c r="Q196" s="368"/>
      <c r="R196" s="368"/>
      <c r="S196" s="368"/>
      <c r="T196" s="368"/>
      <c r="U196" s="362"/>
      <c r="V196" s="351"/>
      <c r="W196" s="360"/>
      <c r="X196" s="360"/>
      <c r="Y196" s="332"/>
    </row>
    <row r="197" spans="1:25" ht="22.5" customHeight="1" thickTop="1" thickBot="1">
      <c r="A197" s="360" t="s">
        <v>67</v>
      </c>
      <c r="B197" s="360" t="s">
        <v>71</v>
      </c>
      <c r="C197" s="352" t="s">
        <v>85</v>
      </c>
      <c r="D197" s="352" t="s">
        <v>89</v>
      </c>
      <c r="E197" s="360" t="s">
        <v>71</v>
      </c>
      <c r="F197" s="352" t="s">
        <v>85</v>
      </c>
      <c r="G197" s="351" t="s">
        <v>71</v>
      </c>
      <c r="H197" s="352"/>
      <c r="I197" s="352"/>
      <c r="J197" s="357" t="s">
        <v>288</v>
      </c>
      <c r="K197" s="368"/>
      <c r="L197" s="368"/>
      <c r="M197" s="368"/>
      <c r="N197" s="368"/>
      <c r="O197" s="368"/>
      <c r="P197" s="368"/>
      <c r="Q197" s="368"/>
      <c r="R197" s="368"/>
      <c r="S197" s="368"/>
      <c r="T197" s="368"/>
      <c r="U197" s="364"/>
      <c r="V197" s="351"/>
      <c r="W197" s="360"/>
      <c r="X197" s="360"/>
      <c r="Y197" s="332"/>
    </row>
    <row r="198" spans="1:25" ht="22.5" customHeight="1" thickTop="1" thickBot="1">
      <c r="A198" s="360" t="s">
        <v>67</v>
      </c>
      <c r="B198" s="360" t="s">
        <v>71</v>
      </c>
      <c r="C198" s="352" t="s">
        <v>85</v>
      </c>
      <c r="D198" s="352" t="s">
        <v>89</v>
      </c>
      <c r="E198" s="360" t="s">
        <v>71</v>
      </c>
      <c r="F198" s="352" t="s">
        <v>85</v>
      </c>
      <c r="G198" s="351" t="s">
        <v>85</v>
      </c>
      <c r="H198" s="352"/>
      <c r="I198" s="352"/>
      <c r="J198" s="357" t="s">
        <v>289</v>
      </c>
      <c r="K198" s="368"/>
      <c r="L198" s="368"/>
      <c r="M198" s="368"/>
      <c r="N198" s="368"/>
      <c r="O198" s="368"/>
      <c r="P198" s="368"/>
      <c r="Q198" s="368"/>
      <c r="R198" s="368"/>
      <c r="S198" s="368"/>
      <c r="T198" s="368"/>
      <c r="U198" s="364"/>
      <c r="V198" s="351"/>
      <c r="W198" s="360"/>
      <c r="X198" s="360"/>
      <c r="Y198" s="332"/>
    </row>
    <row r="199" spans="1:25" s="144" customFormat="1" ht="22.5" customHeight="1" thickTop="1" thickBot="1">
      <c r="A199" s="356" t="s">
        <v>67</v>
      </c>
      <c r="B199" s="356" t="s">
        <v>71</v>
      </c>
      <c r="C199" s="351" t="s">
        <v>85</v>
      </c>
      <c r="D199" s="351" t="s">
        <v>89</v>
      </c>
      <c r="E199" s="351" t="s">
        <v>85</v>
      </c>
      <c r="F199" s="351"/>
      <c r="G199" s="351"/>
      <c r="H199" s="352"/>
      <c r="I199" s="352"/>
      <c r="J199" s="353" t="s">
        <v>290</v>
      </c>
      <c r="K199" s="369"/>
      <c r="L199" s="369"/>
      <c r="M199" s="369"/>
      <c r="N199" s="369"/>
      <c r="O199" s="369"/>
      <c r="P199" s="369"/>
      <c r="Q199" s="369"/>
      <c r="R199" s="369"/>
      <c r="S199" s="369"/>
      <c r="T199" s="369"/>
      <c r="U199" s="355"/>
      <c r="V199" s="351"/>
      <c r="W199" s="356" t="s">
        <v>291</v>
      </c>
      <c r="X199" s="356"/>
      <c r="Y199" s="332" t="s">
        <v>70</v>
      </c>
    </row>
    <row r="200" spans="1:25" ht="22.5" customHeight="1" thickTop="1" thickBot="1">
      <c r="A200" s="352" t="s">
        <v>67</v>
      </c>
      <c r="B200" s="360" t="s">
        <v>71</v>
      </c>
      <c r="C200" s="352" t="s">
        <v>85</v>
      </c>
      <c r="D200" s="352" t="s">
        <v>89</v>
      </c>
      <c r="E200" s="352" t="s">
        <v>85</v>
      </c>
      <c r="F200" s="351" t="s">
        <v>71</v>
      </c>
      <c r="G200" s="352"/>
      <c r="H200" s="352"/>
      <c r="I200" s="352"/>
      <c r="J200" s="353" t="s">
        <v>292</v>
      </c>
      <c r="K200" s="367"/>
      <c r="L200" s="367"/>
      <c r="M200" s="367"/>
      <c r="N200" s="367"/>
      <c r="O200" s="367"/>
      <c r="P200" s="367"/>
      <c r="Q200" s="367"/>
      <c r="R200" s="367"/>
      <c r="S200" s="367"/>
      <c r="T200" s="367"/>
      <c r="U200" s="362"/>
      <c r="V200" s="351"/>
      <c r="W200" s="360" t="s">
        <v>293</v>
      </c>
      <c r="X200" s="360" t="s">
        <v>294</v>
      </c>
      <c r="Y200" s="332" t="s">
        <v>70</v>
      </c>
    </row>
    <row r="201" spans="1:25" ht="22.5" customHeight="1" thickTop="1" thickBot="1">
      <c r="A201" s="360" t="s">
        <v>67</v>
      </c>
      <c r="B201" s="360" t="s">
        <v>71</v>
      </c>
      <c r="C201" s="352" t="s">
        <v>85</v>
      </c>
      <c r="D201" s="352" t="s">
        <v>89</v>
      </c>
      <c r="E201" s="352" t="s">
        <v>85</v>
      </c>
      <c r="F201" s="352" t="s">
        <v>71</v>
      </c>
      <c r="G201" s="351" t="s">
        <v>71</v>
      </c>
      <c r="H201" s="352"/>
      <c r="I201" s="352"/>
      <c r="J201" s="357" t="s">
        <v>295</v>
      </c>
      <c r="K201" s="368"/>
      <c r="L201" s="368"/>
      <c r="M201" s="368"/>
      <c r="N201" s="368"/>
      <c r="O201" s="368"/>
      <c r="P201" s="368"/>
      <c r="Q201" s="368"/>
      <c r="R201" s="368"/>
      <c r="S201" s="368"/>
      <c r="T201" s="368"/>
      <c r="U201" s="364"/>
      <c r="V201" s="351"/>
      <c r="W201" s="360"/>
      <c r="X201" s="360"/>
      <c r="Y201" s="332" t="s">
        <v>70</v>
      </c>
    </row>
    <row r="202" spans="1:25" ht="22.5" customHeight="1" thickTop="1" thickBot="1">
      <c r="A202" s="360" t="s">
        <v>67</v>
      </c>
      <c r="B202" s="360" t="s">
        <v>71</v>
      </c>
      <c r="C202" s="352" t="s">
        <v>85</v>
      </c>
      <c r="D202" s="352" t="s">
        <v>89</v>
      </c>
      <c r="E202" s="352" t="s">
        <v>85</v>
      </c>
      <c r="F202" s="352" t="s">
        <v>71</v>
      </c>
      <c r="G202" s="351" t="s">
        <v>85</v>
      </c>
      <c r="H202" s="352"/>
      <c r="I202" s="352"/>
      <c r="J202" s="357" t="s">
        <v>296</v>
      </c>
      <c r="K202" s="368"/>
      <c r="L202" s="368"/>
      <c r="M202" s="368"/>
      <c r="N202" s="368"/>
      <c r="O202" s="368"/>
      <c r="P202" s="368"/>
      <c r="Q202" s="368"/>
      <c r="R202" s="368"/>
      <c r="S202" s="368"/>
      <c r="T202" s="368"/>
      <c r="U202" s="364"/>
      <c r="V202" s="351"/>
      <c r="W202" s="360"/>
      <c r="X202" s="360"/>
      <c r="Y202" s="332" t="s">
        <v>70</v>
      </c>
    </row>
    <row r="203" spans="1:25" ht="22.5" customHeight="1" thickTop="1" thickBot="1">
      <c r="A203" s="360" t="s">
        <v>67</v>
      </c>
      <c r="B203" s="360" t="s">
        <v>71</v>
      </c>
      <c r="C203" s="352" t="s">
        <v>85</v>
      </c>
      <c r="D203" s="352" t="s">
        <v>89</v>
      </c>
      <c r="E203" s="352" t="s">
        <v>85</v>
      </c>
      <c r="F203" s="351" t="s">
        <v>85</v>
      </c>
      <c r="G203" s="352"/>
      <c r="H203" s="352"/>
      <c r="I203" s="352"/>
      <c r="J203" s="353" t="s">
        <v>297</v>
      </c>
      <c r="K203" s="367"/>
      <c r="L203" s="367"/>
      <c r="M203" s="367"/>
      <c r="N203" s="367"/>
      <c r="O203" s="367"/>
      <c r="P203" s="367"/>
      <c r="Q203" s="367"/>
      <c r="R203" s="367"/>
      <c r="S203" s="367"/>
      <c r="T203" s="367"/>
      <c r="U203" s="362"/>
      <c r="V203" s="351"/>
      <c r="W203" s="360"/>
      <c r="X203" s="360"/>
      <c r="Y203" s="332" t="s">
        <v>70</v>
      </c>
    </row>
    <row r="204" spans="1:25" ht="22.5" customHeight="1" thickTop="1" thickBot="1">
      <c r="A204" s="360" t="s">
        <v>67</v>
      </c>
      <c r="B204" s="360" t="s">
        <v>71</v>
      </c>
      <c r="C204" s="352" t="s">
        <v>85</v>
      </c>
      <c r="D204" s="352" t="s">
        <v>89</v>
      </c>
      <c r="E204" s="352" t="s">
        <v>85</v>
      </c>
      <c r="F204" s="352" t="s">
        <v>85</v>
      </c>
      <c r="G204" s="351" t="s">
        <v>71</v>
      </c>
      <c r="H204" s="352"/>
      <c r="I204" s="352"/>
      <c r="J204" s="357" t="s">
        <v>298</v>
      </c>
      <c r="K204" s="368"/>
      <c r="L204" s="368"/>
      <c r="M204" s="368"/>
      <c r="N204" s="368"/>
      <c r="O204" s="368"/>
      <c r="P204" s="368"/>
      <c r="Q204" s="368"/>
      <c r="R204" s="368"/>
      <c r="S204" s="368"/>
      <c r="T204" s="368"/>
      <c r="U204" s="364"/>
      <c r="V204" s="351"/>
      <c r="W204" s="360"/>
      <c r="X204" s="360"/>
      <c r="Y204" s="332" t="s">
        <v>70</v>
      </c>
    </row>
    <row r="205" spans="1:25" ht="22.5" customHeight="1" thickTop="1" thickBot="1">
      <c r="A205" s="360" t="s">
        <v>67</v>
      </c>
      <c r="B205" s="360" t="s">
        <v>71</v>
      </c>
      <c r="C205" s="352" t="s">
        <v>85</v>
      </c>
      <c r="D205" s="352" t="s">
        <v>89</v>
      </c>
      <c r="E205" s="352" t="s">
        <v>85</v>
      </c>
      <c r="F205" s="352" t="s">
        <v>85</v>
      </c>
      <c r="G205" s="351" t="s">
        <v>85</v>
      </c>
      <c r="H205" s="352"/>
      <c r="I205" s="352"/>
      <c r="J205" s="357" t="s">
        <v>299</v>
      </c>
      <c r="K205" s="368"/>
      <c r="L205" s="368"/>
      <c r="M205" s="368"/>
      <c r="N205" s="368"/>
      <c r="O205" s="368"/>
      <c r="P205" s="368"/>
      <c r="Q205" s="368"/>
      <c r="R205" s="368"/>
      <c r="S205" s="368"/>
      <c r="T205" s="368"/>
      <c r="U205" s="364"/>
      <c r="V205" s="351"/>
      <c r="W205" s="360"/>
      <c r="X205" s="360"/>
      <c r="Y205" s="332" t="s">
        <v>70</v>
      </c>
    </row>
    <row r="206" spans="1:25" ht="22.5" customHeight="1" thickTop="1" thickBot="1">
      <c r="A206" s="360" t="s">
        <v>67</v>
      </c>
      <c r="B206" s="360" t="s">
        <v>71</v>
      </c>
      <c r="C206" s="352" t="s">
        <v>85</v>
      </c>
      <c r="D206" s="352" t="s">
        <v>89</v>
      </c>
      <c r="E206" s="352" t="s">
        <v>85</v>
      </c>
      <c r="F206" s="351" t="s">
        <v>87</v>
      </c>
      <c r="G206" s="352"/>
      <c r="H206" s="352"/>
      <c r="I206" s="352"/>
      <c r="J206" s="353" t="s">
        <v>300</v>
      </c>
      <c r="K206" s="367"/>
      <c r="L206" s="367"/>
      <c r="M206" s="367"/>
      <c r="N206" s="367"/>
      <c r="O206" s="367"/>
      <c r="P206" s="367"/>
      <c r="Q206" s="367"/>
      <c r="R206" s="367"/>
      <c r="S206" s="367"/>
      <c r="T206" s="367"/>
      <c r="U206" s="362"/>
      <c r="V206" s="351"/>
      <c r="W206" s="360"/>
      <c r="X206" s="360"/>
      <c r="Y206" s="332" t="s">
        <v>70</v>
      </c>
    </row>
    <row r="207" spans="1:25" ht="22.5" customHeight="1" thickTop="1" thickBot="1">
      <c r="A207" s="360" t="s">
        <v>67</v>
      </c>
      <c r="B207" s="360" t="s">
        <v>71</v>
      </c>
      <c r="C207" s="352" t="s">
        <v>85</v>
      </c>
      <c r="D207" s="352" t="s">
        <v>89</v>
      </c>
      <c r="E207" s="352" t="s">
        <v>85</v>
      </c>
      <c r="F207" s="352" t="s">
        <v>87</v>
      </c>
      <c r="G207" s="351" t="s">
        <v>71</v>
      </c>
      <c r="H207" s="352"/>
      <c r="I207" s="352"/>
      <c r="J207" s="357" t="s">
        <v>301</v>
      </c>
      <c r="K207" s="368"/>
      <c r="L207" s="368"/>
      <c r="M207" s="368"/>
      <c r="N207" s="368"/>
      <c r="O207" s="368"/>
      <c r="P207" s="368"/>
      <c r="Q207" s="368"/>
      <c r="R207" s="368"/>
      <c r="S207" s="368"/>
      <c r="T207" s="368"/>
      <c r="U207" s="364"/>
      <c r="V207" s="351"/>
      <c r="W207" s="360"/>
      <c r="X207" s="360"/>
      <c r="Y207" s="332" t="s">
        <v>70</v>
      </c>
    </row>
    <row r="208" spans="1:25" ht="22.5" customHeight="1" thickTop="1" thickBot="1">
      <c r="A208" s="360" t="s">
        <v>67</v>
      </c>
      <c r="B208" s="360" t="s">
        <v>71</v>
      </c>
      <c r="C208" s="352" t="s">
        <v>85</v>
      </c>
      <c r="D208" s="352" t="s">
        <v>89</v>
      </c>
      <c r="E208" s="352" t="s">
        <v>85</v>
      </c>
      <c r="F208" s="352" t="s">
        <v>87</v>
      </c>
      <c r="G208" s="351" t="s">
        <v>85</v>
      </c>
      <c r="H208" s="352"/>
      <c r="I208" s="352"/>
      <c r="J208" s="357" t="s">
        <v>302</v>
      </c>
      <c r="K208" s="368"/>
      <c r="L208" s="368"/>
      <c r="M208" s="368"/>
      <c r="N208" s="368"/>
      <c r="O208" s="368"/>
      <c r="P208" s="368"/>
      <c r="Q208" s="368"/>
      <c r="R208" s="368"/>
      <c r="S208" s="368"/>
      <c r="T208" s="368"/>
      <c r="U208" s="364"/>
      <c r="V208" s="351"/>
      <c r="W208" s="360"/>
      <c r="X208" s="360"/>
      <c r="Y208" s="332" t="s">
        <v>70</v>
      </c>
    </row>
    <row r="209" spans="1:25" ht="22.5" customHeight="1" thickTop="1" thickBot="1">
      <c r="A209" s="360" t="s">
        <v>67</v>
      </c>
      <c r="B209" s="360" t="s">
        <v>71</v>
      </c>
      <c r="C209" s="352" t="s">
        <v>85</v>
      </c>
      <c r="D209" s="352" t="s">
        <v>89</v>
      </c>
      <c r="E209" s="352" t="s">
        <v>85</v>
      </c>
      <c r="F209" s="351" t="s">
        <v>89</v>
      </c>
      <c r="G209" s="352"/>
      <c r="H209" s="352"/>
      <c r="I209" s="352"/>
      <c r="J209" s="353" t="s">
        <v>303</v>
      </c>
      <c r="K209" s="367"/>
      <c r="L209" s="367"/>
      <c r="M209" s="367"/>
      <c r="N209" s="367"/>
      <c r="O209" s="367"/>
      <c r="P209" s="367"/>
      <c r="Q209" s="367"/>
      <c r="R209" s="367"/>
      <c r="S209" s="367"/>
      <c r="T209" s="367"/>
      <c r="U209" s="362"/>
      <c r="V209" s="351"/>
      <c r="W209" s="360"/>
      <c r="X209" s="360"/>
      <c r="Y209" s="332" t="s">
        <v>70</v>
      </c>
    </row>
    <row r="210" spans="1:25" ht="22.5" customHeight="1" thickTop="1" thickBot="1">
      <c r="A210" s="360" t="s">
        <v>67</v>
      </c>
      <c r="B210" s="360" t="s">
        <v>71</v>
      </c>
      <c r="C210" s="352" t="s">
        <v>85</v>
      </c>
      <c r="D210" s="352" t="s">
        <v>89</v>
      </c>
      <c r="E210" s="352" t="s">
        <v>85</v>
      </c>
      <c r="F210" s="352" t="s">
        <v>89</v>
      </c>
      <c r="G210" s="351" t="s">
        <v>71</v>
      </c>
      <c r="H210" s="352"/>
      <c r="I210" s="352"/>
      <c r="J210" s="357" t="s">
        <v>304</v>
      </c>
      <c r="K210" s="368"/>
      <c r="L210" s="368"/>
      <c r="M210" s="368"/>
      <c r="N210" s="368"/>
      <c r="O210" s="368"/>
      <c r="P210" s="368"/>
      <c r="Q210" s="368"/>
      <c r="R210" s="368"/>
      <c r="S210" s="368"/>
      <c r="T210" s="368"/>
      <c r="U210" s="364"/>
      <c r="V210" s="351"/>
      <c r="W210" s="360"/>
      <c r="X210" s="360"/>
      <c r="Y210" s="332" t="s">
        <v>70</v>
      </c>
    </row>
    <row r="211" spans="1:25" ht="22.5" customHeight="1" thickTop="1" thickBot="1">
      <c r="A211" s="360" t="s">
        <v>67</v>
      </c>
      <c r="B211" s="360" t="s">
        <v>71</v>
      </c>
      <c r="C211" s="352" t="s">
        <v>85</v>
      </c>
      <c r="D211" s="352" t="s">
        <v>89</v>
      </c>
      <c r="E211" s="352" t="s">
        <v>85</v>
      </c>
      <c r="F211" s="352" t="s">
        <v>89</v>
      </c>
      <c r="G211" s="351" t="s">
        <v>85</v>
      </c>
      <c r="H211" s="352"/>
      <c r="I211" s="352"/>
      <c r="J211" s="357" t="s">
        <v>305</v>
      </c>
      <c r="K211" s="368"/>
      <c r="L211" s="368"/>
      <c r="M211" s="368"/>
      <c r="N211" s="368"/>
      <c r="O211" s="368"/>
      <c r="P211" s="368"/>
      <c r="Q211" s="368"/>
      <c r="R211" s="368"/>
      <c r="S211" s="368"/>
      <c r="T211" s="368"/>
      <c r="U211" s="364"/>
      <c r="V211" s="351"/>
      <c r="W211" s="360"/>
      <c r="X211" s="360"/>
      <c r="Y211" s="332" t="s">
        <v>70</v>
      </c>
    </row>
    <row r="212" spans="1:25" s="415" customFormat="1" ht="22.5" customHeight="1" thickTop="1" thickBot="1">
      <c r="A212" s="412" t="s">
        <v>67</v>
      </c>
      <c r="B212" s="406" t="s">
        <v>71</v>
      </c>
      <c r="C212" s="406" t="s">
        <v>85</v>
      </c>
      <c r="D212" s="406" t="s">
        <v>91</v>
      </c>
      <c r="E212" s="406"/>
      <c r="F212" s="406"/>
      <c r="G212" s="406"/>
      <c r="H212" s="405"/>
      <c r="I212" s="405"/>
      <c r="J212" s="407" t="s">
        <v>306</v>
      </c>
      <c r="K212" s="413"/>
      <c r="L212" s="413"/>
      <c r="M212" s="413"/>
      <c r="N212" s="413"/>
      <c r="O212" s="413"/>
      <c r="P212" s="413"/>
      <c r="Q212" s="413"/>
      <c r="R212" s="413"/>
      <c r="S212" s="413"/>
      <c r="T212" s="413"/>
      <c r="U212" s="414"/>
      <c r="V212" s="406"/>
      <c r="W212" s="406"/>
      <c r="X212" s="406"/>
      <c r="Y212" s="410" t="s">
        <v>70</v>
      </c>
    </row>
    <row r="213" spans="1:25" s="415" customFormat="1" ht="22.5" customHeight="1" thickTop="1" thickBot="1">
      <c r="A213" s="412"/>
      <c r="B213" s="412"/>
      <c r="C213" s="406"/>
      <c r="D213" s="406"/>
      <c r="E213" s="406"/>
      <c r="F213" s="406"/>
      <c r="G213" s="406"/>
      <c r="H213" s="405"/>
      <c r="I213" s="405"/>
      <c r="J213" s="407"/>
      <c r="K213" s="413"/>
      <c r="L213" s="413"/>
      <c r="M213" s="413"/>
      <c r="N213" s="413"/>
      <c r="O213" s="413"/>
      <c r="P213" s="413"/>
      <c r="Q213" s="413"/>
      <c r="R213" s="413"/>
      <c r="S213" s="413"/>
      <c r="T213" s="413"/>
      <c r="U213" s="414"/>
      <c r="V213" s="406"/>
      <c r="W213" s="412"/>
      <c r="X213" s="412"/>
      <c r="Y213" s="410"/>
    </row>
    <row r="214" spans="1:25" s="411" customFormat="1" ht="22.5" customHeight="1" thickTop="1" thickBot="1">
      <c r="A214" s="404"/>
      <c r="B214" s="406"/>
      <c r="C214" s="406"/>
      <c r="D214" s="406"/>
      <c r="E214" s="406"/>
      <c r="F214" s="406"/>
      <c r="G214" s="406"/>
      <c r="H214" s="405"/>
      <c r="I214" s="405"/>
      <c r="J214" s="407"/>
      <c r="K214" s="413"/>
      <c r="L214" s="413"/>
      <c r="M214" s="413"/>
      <c r="N214" s="413"/>
      <c r="O214" s="413"/>
      <c r="P214" s="413"/>
      <c r="Q214" s="413"/>
      <c r="R214" s="413"/>
      <c r="S214" s="413"/>
      <c r="T214" s="413"/>
      <c r="U214" s="413"/>
      <c r="V214" s="406"/>
      <c r="W214" s="406"/>
      <c r="X214" s="406"/>
      <c r="Y214" s="410"/>
    </row>
    <row r="215" spans="1:25" s="144" customFormat="1" ht="22.5" customHeight="1" thickTop="1" thickBot="1">
      <c r="A215" s="333" t="s">
        <v>67</v>
      </c>
      <c r="B215" s="334" t="s">
        <v>85</v>
      </c>
      <c r="C215" s="334"/>
      <c r="D215" s="334"/>
      <c r="E215" s="334"/>
      <c r="F215" s="334"/>
      <c r="G215" s="334"/>
      <c r="H215" s="335"/>
      <c r="I215" s="335"/>
      <c r="J215" s="336" t="s">
        <v>307</v>
      </c>
      <c r="K215" s="337"/>
      <c r="L215" s="337"/>
      <c r="M215" s="337"/>
      <c r="N215" s="337"/>
      <c r="O215" s="337"/>
      <c r="P215" s="337"/>
      <c r="Q215" s="337"/>
      <c r="R215" s="337"/>
      <c r="S215" s="337"/>
      <c r="T215" s="337"/>
      <c r="U215" s="338"/>
      <c r="V215" s="333"/>
      <c r="W215" s="333" t="s">
        <v>308</v>
      </c>
      <c r="X215" s="333"/>
      <c r="Y215" s="332" t="s">
        <v>70</v>
      </c>
    </row>
    <row r="216" spans="1:25" s="144" customFormat="1" ht="22.5" customHeight="1" thickTop="1" thickBot="1">
      <c r="A216" s="339" t="s">
        <v>67</v>
      </c>
      <c r="B216" s="340" t="s">
        <v>85</v>
      </c>
      <c r="C216" s="340" t="s">
        <v>71</v>
      </c>
      <c r="D216" s="340"/>
      <c r="E216" s="340"/>
      <c r="F216" s="340"/>
      <c r="G216" s="340"/>
      <c r="H216" s="341"/>
      <c r="I216" s="341"/>
      <c r="J216" s="342" t="s">
        <v>309</v>
      </c>
      <c r="K216" s="343"/>
      <c r="L216" s="343"/>
      <c r="M216" s="343"/>
      <c r="N216" s="343"/>
      <c r="O216" s="343"/>
      <c r="P216" s="343"/>
      <c r="Q216" s="343"/>
      <c r="R216" s="343"/>
      <c r="S216" s="343"/>
      <c r="T216" s="343"/>
      <c r="U216" s="344"/>
      <c r="V216" s="340"/>
      <c r="W216" s="339" t="s">
        <v>310</v>
      </c>
      <c r="X216" s="340"/>
      <c r="Y216" s="332" t="s">
        <v>70</v>
      </c>
    </row>
    <row r="217" spans="1:25" s="144" customFormat="1" ht="22.5" customHeight="1" thickTop="1" thickBot="1">
      <c r="A217" s="345" t="s">
        <v>67</v>
      </c>
      <c r="B217" s="346" t="s">
        <v>85</v>
      </c>
      <c r="C217" s="346" t="s">
        <v>71</v>
      </c>
      <c r="D217" s="346" t="s">
        <v>71</v>
      </c>
      <c r="E217" s="346"/>
      <c r="F217" s="346"/>
      <c r="G217" s="346"/>
      <c r="H217" s="347"/>
      <c r="I217" s="347"/>
      <c r="J217" s="348" t="s">
        <v>311</v>
      </c>
      <c r="K217" s="349"/>
      <c r="L217" s="349"/>
      <c r="M217" s="349"/>
      <c r="N217" s="349"/>
      <c r="O217" s="349"/>
      <c r="P217" s="349"/>
      <c r="Q217" s="349"/>
      <c r="R217" s="349"/>
      <c r="S217" s="349"/>
      <c r="T217" s="349"/>
      <c r="U217" s="350"/>
      <c r="V217" s="346"/>
      <c r="W217" s="345" t="s">
        <v>312</v>
      </c>
      <c r="X217" s="345"/>
      <c r="Y217" s="332" t="s">
        <v>70</v>
      </c>
    </row>
    <row r="218" spans="1:25" s="144" customFormat="1" ht="22.5" customHeight="1" thickTop="1" thickBot="1">
      <c r="A218" s="356" t="s">
        <v>67</v>
      </c>
      <c r="B218" s="351" t="s">
        <v>85</v>
      </c>
      <c r="C218" s="351" t="s">
        <v>71</v>
      </c>
      <c r="D218" s="351" t="s">
        <v>71</v>
      </c>
      <c r="E218" s="351" t="s">
        <v>71</v>
      </c>
      <c r="F218" s="351"/>
      <c r="G218" s="351"/>
      <c r="H218" s="352"/>
      <c r="I218" s="352"/>
      <c r="J218" s="353" t="s">
        <v>313</v>
      </c>
      <c r="K218" s="354"/>
      <c r="L218" s="354"/>
      <c r="M218" s="354"/>
      <c r="N218" s="354"/>
      <c r="O218" s="354"/>
      <c r="P218" s="354"/>
      <c r="Q218" s="354"/>
      <c r="R218" s="354"/>
      <c r="S218" s="354"/>
      <c r="T218" s="354"/>
      <c r="U218" s="355"/>
      <c r="V218" s="351"/>
      <c r="W218" s="356" t="s">
        <v>314</v>
      </c>
      <c r="X218" s="356"/>
      <c r="Y218" s="332" t="s">
        <v>70</v>
      </c>
    </row>
    <row r="219" spans="1:25" ht="22.5" customHeight="1" thickTop="1" thickBot="1">
      <c r="A219" s="360" t="s">
        <v>67</v>
      </c>
      <c r="B219" s="352" t="s">
        <v>85</v>
      </c>
      <c r="C219" s="352" t="s">
        <v>71</v>
      </c>
      <c r="D219" s="352" t="s">
        <v>71</v>
      </c>
      <c r="E219" s="352" t="s">
        <v>71</v>
      </c>
      <c r="F219" s="351" t="s">
        <v>71</v>
      </c>
      <c r="G219" s="352"/>
      <c r="H219" s="352"/>
      <c r="I219" s="352"/>
      <c r="J219" s="357" t="s">
        <v>315</v>
      </c>
      <c r="K219" s="358"/>
      <c r="L219" s="358"/>
      <c r="M219" s="358"/>
      <c r="N219" s="358"/>
      <c r="O219" s="358"/>
      <c r="P219" s="358"/>
      <c r="Q219" s="358"/>
      <c r="R219" s="358"/>
      <c r="S219" s="358"/>
      <c r="T219" s="358"/>
      <c r="U219" s="359"/>
      <c r="V219" s="351"/>
      <c r="W219" s="360" t="s">
        <v>316</v>
      </c>
      <c r="X219" s="360"/>
      <c r="Y219" s="332" t="s">
        <v>70</v>
      </c>
    </row>
    <row r="220" spans="1:25" ht="22.5" customHeight="1" thickTop="1" thickBot="1">
      <c r="A220" s="360" t="s">
        <v>67</v>
      </c>
      <c r="B220" s="352" t="s">
        <v>85</v>
      </c>
      <c r="C220" s="352" t="s">
        <v>71</v>
      </c>
      <c r="D220" s="352" t="s">
        <v>71</v>
      </c>
      <c r="E220" s="352" t="s">
        <v>71</v>
      </c>
      <c r="F220" s="351" t="s">
        <v>85</v>
      </c>
      <c r="G220" s="352"/>
      <c r="H220" s="352"/>
      <c r="I220" s="352"/>
      <c r="J220" s="357" t="s">
        <v>317</v>
      </c>
      <c r="K220" s="358"/>
      <c r="L220" s="358"/>
      <c r="M220" s="358"/>
      <c r="N220" s="358"/>
      <c r="O220" s="358"/>
      <c r="P220" s="358"/>
      <c r="Q220" s="358"/>
      <c r="R220" s="358"/>
      <c r="S220" s="358"/>
      <c r="T220" s="358"/>
      <c r="U220" s="359"/>
      <c r="V220" s="351"/>
      <c r="W220" s="360" t="s">
        <v>318</v>
      </c>
      <c r="X220" s="360"/>
      <c r="Y220" s="332" t="s">
        <v>70</v>
      </c>
    </row>
    <row r="221" spans="1:25" ht="22.5" customHeight="1" thickTop="1" thickBot="1">
      <c r="A221" s="360" t="s">
        <v>67</v>
      </c>
      <c r="B221" s="352" t="s">
        <v>85</v>
      </c>
      <c r="C221" s="352" t="s">
        <v>71</v>
      </c>
      <c r="D221" s="352" t="s">
        <v>71</v>
      </c>
      <c r="E221" s="352" t="s">
        <v>71</v>
      </c>
      <c r="F221" s="351" t="s">
        <v>87</v>
      </c>
      <c r="G221" s="352"/>
      <c r="H221" s="352"/>
      <c r="I221" s="352"/>
      <c r="J221" s="357" t="s">
        <v>319</v>
      </c>
      <c r="K221" s="358"/>
      <c r="L221" s="358"/>
      <c r="M221" s="358"/>
      <c r="N221" s="358"/>
      <c r="O221" s="358"/>
      <c r="P221" s="358"/>
      <c r="Q221" s="358"/>
      <c r="R221" s="358"/>
      <c r="S221" s="358"/>
      <c r="T221" s="358"/>
      <c r="U221" s="359"/>
      <c r="V221" s="351"/>
      <c r="W221" s="360" t="s">
        <v>320</v>
      </c>
      <c r="X221" s="360"/>
      <c r="Y221" s="332" t="s">
        <v>70</v>
      </c>
    </row>
    <row r="222" spans="1:25" ht="22.5" customHeight="1" thickTop="1" thickBot="1">
      <c r="A222" s="360" t="s">
        <v>67</v>
      </c>
      <c r="B222" s="352" t="s">
        <v>85</v>
      </c>
      <c r="C222" s="352" t="s">
        <v>71</v>
      </c>
      <c r="D222" s="352" t="s">
        <v>71</v>
      </c>
      <c r="E222" s="352" t="s">
        <v>71</v>
      </c>
      <c r="F222" s="352" t="s">
        <v>87</v>
      </c>
      <c r="G222" s="351" t="s">
        <v>71</v>
      </c>
      <c r="H222" s="352"/>
      <c r="I222" s="352"/>
      <c r="J222" s="357" t="s">
        <v>321</v>
      </c>
      <c r="K222" s="354"/>
      <c r="L222" s="354"/>
      <c r="M222" s="354"/>
      <c r="N222" s="354"/>
      <c r="O222" s="354"/>
      <c r="P222" s="354"/>
      <c r="Q222" s="354"/>
      <c r="R222" s="354"/>
      <c r="S222" s="354"/>
      <c r="T222" s="354"/>
      <c r="U222" s="355"/>
      <c r="V222" s="351"/>
      <c r="W222" s="360" t="s">
        <v>322</v>
      </c>
      <c r="X222" s="360"/>
      <c r="Y222" s="332" t="s">
        <v>70</v>
      </c>
    </row>
    <row r="223" spans="1:25" s="144" customFormat="1" ht="22.5" customHeight="1" thickTop="1" thickBot="1">
      <c r="A223" s="356" t="s">
        <v>67</v>
      </c>
      <c r="B223" s="351" t="s">
        <v>85</v>
      </c>
      <c r="C223" s="351" t="s">
        <v>71</v>
      </c>
      <c r="D223" s="351" t="s">
        <v>71</v>
      </c>
      <c r="E223" s="351" t="s">
        <v>85</v>
      </c>
      <c r="F223" s="351"/>
      <c r="G223" s="351"/>
      <c r="H223" s="352"/>
      <c r="I223" s="352"/>
      <c r="J223" s="353" t="s">
        <v>323</v>
      </c>
      <c r="K223" s="354"/>
      <c r="L223" s="354"/>
      <c r="M223" s="354"/>
      <c r="N223" s="354"/>
      <c r="O223" s="354"/>
      <c r="P223" s="354"/>
      <c r="Q223" s="354"/>
      <c r="R223" s="354"/>
      <c r="S223" s="354"/>
      <c r="T223" s="354"/>
      <c r="U223" s="355"/>
      <c r="V223" s="351"/>
      <c r="W223" s="356" t="s">
        <v>324</v>
      </c>
      <c r="X223" s="356"/>
      <c r="Y223" s="332" t="s">
        <v>70</v>
      </c>
    </row>
    <row r="224" spans="1:25" ht="22.5" customHeight="1" thickTop="1" thickBot="1">
      <c r="A224" s="360" t="s">
        <v>67</v>
      </c>
      <c r="B224" s="352" t="s">
        <v>85</v>
      </c>
      <c r="C224" s="352" t="s">
        <v>71</v>
      </c>
      <c r="D224" s="352" t="s">
        <v>71</v>
      </c>
      <c r="E224" s="352" t="s">
        <v>85</v>
      </c>
      <c r="F224" s="351" t="s">
        <v>71</v>
      </c>
      <c r="G224" s="352"/>
      <c r="H224" s="352"/>
      <c r="I224" s="352"/>
      <c r="J224" s="357" t="s">
        <v>325</v>
      </c>
      <c r="K224" s="358"/>
      <c r="L224" s="358"/>
      <c r="M224" s="358"/>
      <c r="N224" s="358"/>
      <c r="O224" s="358"/>
      <c r="P224" s="358"/>
      <c r="Q224" s="358"/>
      <c r="R224" s="358"/>
      <c r="S224" s="358"/>
      <c r="T224" s="358"/>
      <c r="U224" s="359"/>
      <c r="V224" s="351"/>
      <c r="W224" s="360" t="s">
        <v>326</v>
      </c>
      <c r="X224" s="360"/>
      <c r="Y224" s="332" t="s">
        <v>70</v>
      </c>
    </row>
    <row r="225" spans="1:25" s="415" customFormat="1" ht="22.5" customHeight="1" thickTop="1" thickBot="1">
      <c r="A225" s="412" t="s">
        <v>67</v>
      </c>
      <c r="B225" s="406" t="s">
        <v>85</v>
      </c>
      <c r="C225" s="406" t="s">
        <v>85</v>
      </c>
      <c r="D225" s="406"/>
      <c r="E225" s="406"/>
      <c r="F225" s="406"/>
      <c r="G225" s="406"/>
      <c r="H225" s="405"/>
      <c r="I225" s="405"/>
      <c r="J225" s="407" t="s">
        <v>327</v>
      </c>
      <c r="K225" s="413"/>
      <c r="L225" s="413"/>
      <c r="M225" s="413"/>
      <c r="N225" s="413"/>
      <c r="O225" s="413"/>
      <c r="P225" s="413"/>
      <c r="Q225" s="413"/>
      <c r="R225" s="413"/>
      <c r="S225" s="413"/>
      <c r="T225" s="413"/>
      <c r="U225" s="414"/>
      <c r="V225" s="406"/>
      <c r="W225" s="406" t="s">
        <v>328</v>
      </c>
      <c r="X225" s="406"/>
      <c r="Y225" s="410" t="s">
        <v>70</v>
      </c>
    </row>
    <row r="226" spans="1:25" s="415" customFormat="1" ht="22.5" customHeight="1" thickTop="1" thickBot="1">
      <c r="A226" s="412"/>
      <c r="B226" s="406"/>
      <c r="C226" s="406"/>
      <c r="D226" s="406"/>
      <c r="E226" s="406"/>
      <c r="F226" s="406"/>
      <c r="G226" s="406"/>
      <c r="H226" s="405"/>
      <c r="I226" s="405"/>
      <c r="J226" s="407"/>
      <c r="K226" s="413"/>
      <c r="L226" s="413"/>
      <c r="M226" s="413"/>
      <c r="N226" s="413"/>
      <c r="O226" s="413"/>
      <c r="P226" s="413"/>
      <c r="Q226" s="413"/>
      <c r="R226" s="413"/>
      <c r="S226" s="413"/>
      <c r="T226" s="413"/>
      <c r="U226" s="414"/>
      <c r="V226" s="406"/>
      <c r="W226" s="412"/>
      <c r="X226" s="412"/>
      <c r="Y226" s="410"/>
    </row>
    <row r="227" spans="1:25" s="415" customFormat="1" ht="22.5" customHeight="1" thickTop="1" thickBot="1">
      <c r="A227" s="412"/>
      <c r="B227" s="406"/>
      <c r="C227" s="406"/>
      <c r="D227" s="406"/>
      <c r="E227" s="406"/>
      <c r="F227" s="406"/>
      <c r="G227" s="406"/>
      <c r="H227" s="405"/>
      <c r="I227" s="405"/>
      <c r="J227" s="407"/>
      <c r="K227" s="413"/>
      <c r="L227" s="413"/>
      <c r="M227" s="413"/>
      <c r="N227" s="413"/>
      <c r="O227" s="413"/>
      <c r="P227" s="413"/>
      <c r="Q227" s="413"/>
      <c r="R227" s="413"/>
      <c r="S227" s="413"/>
      <c r="T227" s="413"/>
      <c r="U227" s="414"/>
      <c r="V227" s="406"/>
      <c r="W227" s="412"/>
      <c r="X227" s="412"/>
      <c r="Y227" s="410"/>
    </row>
    <row r="228" spans="1:25" s="415" customFormat="1" ht="22.5" customHeight="1" thickTop="1" thickBot="1">
      <c r="A228" s="412"/>
      <c r="B228" s="406"/>
      <c r="C228" s="406"/>
      <c r="D228" s="406"/>
      <c r="E228" s="406"/>
      <c r="F228" s="406"/>
      <c r="G228" s="406"/>
      <c r="H228" s="405"/>
      <c r="I228" s="405"/>
      <c r="J228" s="407"/>
      <c r="K228" s="413"/>
      <c r="L228" s="413"/>
      <c r="M228" s="413"/>
      <c r="N228" s="413"/>
      <c r="O228" s="413"/>
      <c r="P228" s="413"/>
      <c r="Q228" s="413"/>
      <c r="R228" s="413"/>
      <c r="S228" s="413"/>
      <c r="T228" s="413"/>
      <c r="U228" s="414"/>
      <c r="V228" s="412"/>
      <c r="W228" s="412"/>
      <c r="X228" s="412"/>
      <c r="Y228" s="410"/>
    </row>
    <row r="229" spans="1:25" s="144" customFormat="1" ht="22.5" customHeight="1" thickTop="1" thickBot="1">
      <c r="A229" s="339" t="s">
        <v>67</v>
      </c>
      <c r="B229" s="340" t="s">
        <v>85</v>
      </c>
      <c r="C229" s="340" t="s">
        <v>87</v>
      </c>
      <c r="D229" s="340"/>
      <c r="E229" s="340"/>
      <c r="F229" s="340"/>
      <c r="G229" s="340"/>
      <c r="H229" s="341"/>
      <c r="I229" s="341"/>
      <c r="J229" s="342" t="s">
        <v>329</v>
      </c>
      <c r="K229" s="371"/>
      <c r="L229" s="371"/>
      <c r="M229" s="371"/>
      <c r="N229" s="371"/>
      <c r="O229" s="371"/>
      <c r="P229" s="371"/>
      <c r="Q229" s="371"/>
      <c r="R229" s="371"/>
      <c r="S229" s="371"/>
      <c r="T229" s="371"/>
      <c r="U229" s="344"/>
      <c r="V229" s="340"/>
      <c r="W229" s="340" t="s">
        <v>330</v>
      </c>
      <c r="X229" s="340"/>
      <c r="Y229" s="332" t="s">
        <v>70</v>
      </c>
    </row>
    <row r="230" spans="1:25" s="144" customFormat="1" ht="22.5" customHeight="1" thickTop="1" thickBot="1">
      <c r="A230" s="346" t="s">
        <v>67</v>
      </c>
      <c r="B230" s="346" t="s">
        <v>85</v>
      </c>
      <c r="C230" s="346" t="s">
        <v>87</v>
      </c>
      <c r="D230" s="346" t="s">
        <v>71</v>
      </c>
      <c r="E230" s="346"/>
      <c r="F230" s="346"/>
      <c r="G230" s="346"/>
      <c r="H230" s="347"/>
      <c r="I230" s="347"/>
      <c r="J230" s="348" t="s">
        <v>331</v>
      </c>
      <c r="K230" s="366"/>
      <c r="L230" s="366"/>
      <c r="M230" s="366"/>
      <c r="N230" s="366"/>
      <c r="O230" s="366"/>
      <c r="P230" s="366"/>
      <c r="Q230" s="366"/>
      <c r="R230" s="366"/>
      <c r="S230" s="366"/>
      <c r="T230" s="366"/>
      <c r="U230" s="350"/>
      <c r="V230" s="346"/>
      <c r="W230" s="345" t="s">
        <v>332</v>
      </c>
      <c r="X230" s="345" t="s">
        <v>333</v>
      </c>
      <c r="Y230" s="332" t="s">
        <v>70</v>
      </c>
    </row>
    <row r="231" spans="1:25" s="144" customFormat="1" ht="22.5" customHeight="1" thickTop="1" thickBot="1">
      <c r="A231" s="356" t="s">
        <v>67</v>
      </c>
      <c r="B231" s="351" t="s">
        <v>85</v>
      </c>
      <c r="C231" s="351" t="s">
        <v>87</v>
      </c>
      <c r="D231" s="351" t="s">
        <v>71</v>
      </c>
      <c r="E231" s="351" t="s">
        <v>71</v>
      </c>
      <c r="F231" s="351"/>
      <c r="G231" s="351"/>
      <c r="H231" s="352"/>
      <c r="I231" s="352"/>
      <c r="J231" s="353" t="s">
        <v>334</v>
      </c>
      <c r="K231" s="369"/>
      <c r="L231" s="369"/>
      <c r="M231" s="369"/>
      <c r="N231" s="369"/>
      <c r="O231" s="369"/>
      <c r="P231" s="369"/>
      <c r="Q231" s="369"/>
      <c r="R231" s="369"/>
      <c r="S231" s="369"/>
      <c r="T231" s="369"/>
      <c r="U231" s="355"/>
      <c r="V231" s="356"/>
      <c r="W231" s="356" t="s">
        <v>335</v>
      </c>
      <c r="X231" s="356" t="s">
        <v>336</v>
      </c>
      <c r="Y231" s="332" t="s">
        <v>70</v>
      </c>
    </row>
    <row r="232" spans="1:25" s="144" customFormat="1" ht="22.5" customHeight="1" thickTop="1" thickBot="1">
      <c r="A232" s="356" t="s">
        <v>67</v>
      </c>
      <c r="B232" s="351" t="s">
        <v>85</v>
      </c>
      <c r="C232" s="351" t="s">
        <v>87</v>
      </c>
      <c r="D232" s="351" t="s">
        <v>71</v>
      </c>
      <c r="E232" s="351" t="s">
        <v>85</v>
      </c>
      <c r="F232" s="351"/>
      <c r="G232" s="351"/>
      <c r="H232" s="352"/>
      <c r="I232" s="352"/>
      <c r="J232" s="353" t="s">
        <v>337</v>
      </c>
      <c r="K232" s="369"/>
      <c r="L232" s="369"/>
      <c r="M232" s="369"/>
      <c r="N232" s="369"/>
      <c r="O232" s="369"/>
      <c r="P232" s="369"/>
      <c r="Q232" s="369"/>
      <c r="R232" s="369"/>
      <c r="S232" s="369"/>
      <c r="T232" s="369"/>
      <c r="U232" s="355"/>
      <c r="V232" s="351"/>
      <c r="W232" s="356" t="s">
        <v>338</v>
      </c>
      <c r="X232" s="356"/>
      <c r="Y232" s="332" t="s">
        <v>70</v>
      </c>
    </row>
    <row r="233" spans="1:25" s="144" customFormat="1" ht="22.5" customHeight="1" thickTop="1" thickBot="1">
      <c r="A233" s="345" t="s">
        <v>67</v>
      </c>
      <c r="B233" s="346" t="s">
        <v>85</v>
      </c>
      <c r="C233" s="346" t="s">
        <v>87</v>
      </c>
      <c r="D233" s="346" t="s">
        <v>85</v>
      </c>
      <c r="E233" s="346"/>
      <c r="F233" s="346"/>
      <c r="G233" s="346"/>
      <c r="H233" s="347"/>
      <c r="I233" s="347"/>
      <c r="J233" s="348" t="s">
        <v>339</v>
      </c>
      <c r="K233" s="366"/>
      <c r="L233" s="366"/>
      <c r="M233" s="366"/>
      <c r="N233" s="366"/>
      <c r="O233" s="366"/>
      <c r="P233" s="366"/>
      <c r="Q233" s="366"/>
      <c r="R233" s="366"/>
      <c r="S233" s="366"/>
      <c r="T233" s="366"/>
      <c r="U233" s="350"/>
      <c r="V233" s="346"/>
      <c r="W233" s="345" t="s">
        <v>340</v>
      </c>
      <c r="X233" s="345"/>
      <c r="Y233" s="332" t="s">
        <v>70</v>
      </c>
    </row>
    <row r="234" spans="1:25" s="144" customFormat="1" ht="22.5" customHeight="1" thickTop="1" thickBot="1">
      <c r="A234" s="345" t="s">
        <v>67</v>
      </c>
      <c r="B234" s="346" t="s">
        <v>85</v>
      </c>
      <c r="C234" s="346" t="s">
        <v>87</v>
      </c>
      <c r="D234" s="346" t="s">
        <v>87</v>
      </c>
      <c r="E234" s="346"/>
      <c r="F234" s="346"/>
      <c r="G234" s="346"/>
      <c r="H234" s="347"/>
      <c r="I234" s="347"/>
      <c r="J234" s="348" t="s">
        <v>341</v>
      </c>
      <c r="K234" s="366"/>
      <c r="L234" s="366"/>
      <c r="M234" s="366"/>
      <c r="N234" s="366"/>
      <c r="O234" s="366"/>
      <c r="P234" s="366"/>
      <c r="Q234" s="366"/>
      <c r="R234" s="366"/>
      <c r="S234" s="366"/>
      <c r="T234" s="366"/>
      <c r="U234" s="350"/>
      <c r="V234" s="346"/>
      <c r="W234" s="345" t="s">
        <v>342</v>
      </c>
      <c r="X234" s="345" t="s">
        <v>343</v>
      </c>
      <c r="Y234" s="332" t="s">
        <v>70</v>
      </c>
    </row>
    <row r="235" spans="1:25" s="144" customFormat="1" ht="22.5" customHeight="1" thickTop="1" thickBot="1">
      <c r="A235" s="339" t="s">
        <v>67</v>
      </c>
      <c r="B235" s="340" t="s">
        <v>85</v>
      </c>
      <c r="C235" s="340" t="s">
        <v>89</v>
      </c>
      <c r="D235" s="340"/>
      <c r="E235" s="340"/>
      <c r="F235" s="340"/>
      <c r="G235" s="340"/>
      <c r="H235" s="341"/>
      <c r="I235" s="341"/>
      <c r="J235" s="342" t="s">
        <v>344</v>
      </c>
      <c r="K235" s="371"/>
      <c r="L235" s="371"/>
      <c r="M235" s="371"/>
      <c r="N235" s="371"/>
      <c r="O235" s="371"/>
      <c r="P235" s="371"/>
      <c r="Q235" s="371"/>
      <c r="R235" s="371"/>
      <c r="S235" s="371"/>
      <c r="T235" s="371"/>
      <c r="U235" s="344"/>
      <c r="V235" s="340"/>
      <c r="W235" s="340" t="s">
        <v>345</v>
      </c>
      <c r="X235" s="340"/>
      <c r="Y235" s="332" t="s">
        <v>70</v>
      </c>
    </row>
    <row r="236" spans="1:25" s="144" customFormat="1" ht="22.5" customHeight="1" thickTop="1" thickBot="1">
      <c r="A236" s="345" t="s">
        <v>67</v>
      </c>
      <c r="B236" s="346" t="s">
        <v>85</v>
      </c>
      <c r="C236" s="346" t="s">
        <v>89</v>
      </c>
      <c r="D236" s="346" t="s">
        <v>71</v>
      </c>
      <c r="E236" s="346"/>
      <c r="F236" s="346"/>
      <c r="G236" s="346"/>
      <c r="H236" s="347"/>
      <c r="I236" s="347"/>
      <c r="J236" s="348" t="s">
        <v>346</v>
      </c>
      <c r="K236" s="366"/>
      <c r="L236" s="366"/>
      <c r="M236" s="366"/>
      <c r="N236" s="366"/>
      <c r="O236" s="366"/>
      <c r="P236" s="366"/>
      <c r="Q236" s="366"/>
      <c r="R236" s="366"/>
      <c r="S236" s="366"/>
      <c r="T236" s="366"/>
      <c r="U236" s="350"/>
      <c r="V236" s="346"/>
      <c r="W236" s="345" t="s">
        <v>347</v>
      </c>
      <c r="X236" s="345" t="s">
        <v>348</v>
      </c>
      <c r="Y236" s="332" t="s">
        <v>70</v>
      </c>
    </row>
    <row r="237" spans="1:25" s="144" customFormat="1" ht="22.5" customHeight="1" thickTop="1" thickBot="1">
      <c r="A237" s="356" t="s">
        <v>67</v>
      </c>
      <c r="B237" s="351" t="s">
        <v>85</v>
      </c>
      <c r="C237" s="351" t="s">
        <v>89</v>
      </c>
      <c r="D237" s="351" t="s">
        <v>71</v>
      </c>
      <c r="E237" s="351" t="s">
        <v>71</v>
      </c>
      <c r="F237" s="351"/>
      <c r="G237" s="351"/>
      <c r="H237" s="352"/>
      <c r="I237" s="352"/>
      <c r="J237" s="353" t="s">
        <v>349</v>
      </c>
      <c r="K237" s="369"/>
      <c r="L237" s="369"/>
      <c r="M237" s="369"/>
      <c r="N237" s="369"/>
      <c r="O237" s="369"/>
      <c r="P237" s="369"/>
      <c r="Q237" s="369"/>
      <c r="R237" s="369"/>
      <c r="S237" s="369"/>
      <c r="T237" s="369"/>
      <c r="U237" s="355"/>
      <c r="V237" s="356"/>
      <c r="W237" s="356" t="s">
        <v>350</v>
      </c>
      <c r="X237" s="356" t="s">
        <v>336</v>
      </c>
      <c r="Y237" s="332" t="s">
        <v>70</v>
      </c>
    </row>
    <row r="238" spans="1:25" ht="22.5" customHeight="1" thickTop="1" thickBot="1">
      <c r="A238" s="360" t="s">
        <v>67</v>
      </c>
      <c r="B238" s="352" t="s">
        <v>85</v>
      </c>
      <c r="C238" s="352" t="s">
        <v>89</v>
      </c>
      <c r="D238" s="352" t="s">
        <v>71</v>
      </c>
      <c r="E238" s="352" t="s">
        <v>71</v>
      </c>
      <c r="F238" s="351" t="s">
        <v>71</v>
      </c>
      <c r="G238" s="352"/>
      <c r="H238" s="352"/>
      <c r="I238" s="352"/>
      <c r="J238" s="357" t="s">
        <v>351</v>
      </c>
      <c r="K238" s="370"/>
      <c r="L238" s="370"/>
      <c r="M238" s="370"/>
      <c r="N238" s="370"/>
      <c r="O238" s="370"/>
      <c r="P238" s="370"/>
      <c r="Q238" s="370"/>
      <c r="R238" s="370"/>
      <c r="S238" s="370"/>
      <c r="T238" s="370"/>
      <c r="U238" s="359"/>
      <c r="V238" s="352"/>
      <c r="W238" s="360" t="s">
        <v>352</v>
      </c>
      <c r="X238" s="360"/>
      <c r="Y238" s="332" t="s">
        <v>70</v>
      </c>
    </row>
    <row r="239" spans="1:25" ht="22.5" customHeight="1" thickTop="1" thickBot="1">
      <c r="A239" s="360" t="s">
        <v>67</v>
      </c>
      <c r="B239" s="352" t="s">
        <v>85</v>
      </c>
      <c r="C239" s="352" t="s">
        <v>89</v>
      </c>
      <c r="D239" s="352" t="s">
        <v>71</v>
      </c>
      <c r="E239" s="352" t="s">
        <v>71</v>
      </c>
      <c r="F239" s="351" t="s">
        <v>85</v>
      </c>
      <c r="G239" s="352"/>
      <c r="H239" s="352"/>
      <c r="I239" s="352"/>
      <c r="J239" s="357" t="s">
        <v>353</v>
      </c>
      <c r="K239" s="370"/>
      <c r="L239" s="370"/>
      <c r="M239" s="370"/>
      <c r="N239" s="370"/>
      <c r="O239" s="370"/>
      <c r="P239" s="370"/>
      <c r="Q239" s="370"/>
      <c r="R239" s="370"/>
      <c r="S239" s="370"/>
      <c r="T239" s="370"/>
      <c r="U239" s="359"/>
      <c r="V239" s="360"/>
      <c r="W239" s="360" t="s">
        <v>354</v>
      </c>
      <c r="X239" s="360"/>
      <c r="Y239" s="332" t="s">
        <v>70</v>
      </c>
    </row>
    <row r="240" spans="1:25" s="144" customFormat="1" ht="22.5" customHeight="1" thickTop="1" thickBot="1">
      <c r="A240" s="356" t="s">
        <v>67</v>
      </c>
      <c r="B240" s="351" t="s">
        <v>85</v>
      </c>
      <c r="C240" s="351" t="s">
        <v>89</v>
      </c>
      <c r="D240" s="351" t="s">
        <v>71</v>
      </c>
      <c r="E240" s="351" t="s">
        <v>85</v>
      </c>
      <c r="F240" s="351"/>
      <c r="G240" s="351"/>
      <c r="H240" s="352"/>
      <c r="I240" s="352"/>
      <c r="J240" s="353" t="s">
        <v>355</v>
      </c>
      <c r="K240" s="369"/>
      <c r="L240" s="369"/>
      <c r="M240" s="369"/>
      <c r="N240" s="369"/>
      <c r="O240" s="369"/>
      <c r="P240" s="369"/>
      <c r="Q240" s="369"/>
      <c r="R240" s="369"/>
      <c r="S240" s="369"/>
      <c r="T240" s="369"/>
      <c r="U240" s="355"/>
      <c r="V240" s="356"/>
      <c r="W240" s="356" t="s">
        <v>356</v>
      </c>
      <c r="X240" s="356"/>
      <c r="Y240" s="332" t="s">
        <v>70</v>
      </c>
    </row>
    <row r="241" spans="1:25" ht="22.5" customHeight="1" thickTop="1" thickBot="1">
      <c r="A241" s="360" t="s">
        <v>67</v>
      </c>
      <c r="B241" s="352" t="s">
        <v>85</v>
      </c>
      <c r="C241" s="352" t="s">
        <v>89</v>
      </c>
      <c r="D241" s="352" t="s">
        <v>71</v>
      </c>
      <c r="E241" s="352" t="s">
        <v>85</v>
      </c>
      <c r="F241" s="351" t="s">
        <v>71</v>
      </c>
      <c r="G241" s="352"/>
      <c r="H241" s="352"/>
      <c r="I241" s="352"/>
      <c r="J241" s="357" t="s">
        <v>357</v>
      </c>
      <c r="K241" s="370"/>
      <c r="L241" s="370"/>
      <c r="M241" s="370"/>
      <c r="N241" s="370"/>
      <c r="O241" s="370"/>
      <c r="P241" s="370"/>
      <c r="Q241" s="370"/>
      <c r="R241" s="370"/>
      <c r="S241" s="370"/>
      <c r="T241" s="370"/>
      <c r="U241" s="359"/>
      <c r="V241" s="360"/>
      <c r="W241" s="360" t="s">
        <v>358</v>
      </c>
      <c r="X241" s="360"/>
      <c r="Y241" s="332" t="s">
        <v>70</v>
      </c>
    </row>
    <row r="242" spans="1:25" ht="22.5" customHeight="1" thickTop="1" thickBot="1">
      <c r="A242" s="360" t="s">
        <v>67</v>
      </c>
      <c r="B242" s="352" t="s">
        <v>85</v>
      </c>
      <c r="C242" s="352" t="s">
        <v>89</v>
      </c>
      <c r="D242" s="352" t="s">
        <v>71</v>
      </c>
      <c r="E242" s="352" t="s">
        <v>85</v>
      </c>
      <c r="F242" s="351" t="s">
        <v>85</v>
      </c>
      <c r="G242" s="352"/>
      <c r="H242" s="352"/>
      <c r="I242" s="352"/>
      <c r="J242" s="357" t="s">
        <v>359</v>
      </c>
      <c r="K242" s="370"/>
      <c r="L242" s="370"/>
      <c r="M242" s="370"/>
      <c r="N242" s="370"/>
      <c r="O242" s="370"/>
      <c r="P242" s="370"/>
      <c r="Q242" s="370"/>
      <c r="R242" s="370"/>
      <c r="S242" s="370"/>
      <c r="T242" s="370"/>
      <c r="U242" s="359"/>
      <c r="V242" s="360"/>
      <c r="W242" s="360" t="s">
        <v>360</v>
      </c>
      <c r="X242" s="360"/>
      <c r="Y242" s="332" t="s">
        <v>70</v>
      </c>
    </row>
    <row r="243" spans="1:25" ht="22.5" customHeight="1" thickTop="1" thickBot="1">
      <c r="A243" s="360" t="s">
        <v>67</v>
      </c>
      <c r="B243" s="352" t="s">
        <v>85</v>
      </c>
      <c r="C243" s="352" t="s">
        <v>89</v>
      </c>
      <c r="D243" s="352" t="s">
        <v>71</v>
      </c>
      <c r="E243" s="352" t="s">
        <v>85</v>
      </c>
      <c r="F243" s="351" t="s">
        <v>87</v>
      </c>
      <c r="G243" s="352"/>
      <c r="H243" s="352"/>
      <c r="I243" s="352"/>
      <c r="J243" s="357" t="s">
        <v>361</v>
      </c>
      <c r="K243" s="370"/>
      <c r="L243" s="370"/>
      <c r="M243" s="370"/>
      <c r="N243" s="370"/>
      <c r="O243" s="370"/>
      <c r="P243" s="370"/>
      <c r="Q243" s="370"/>
      <c r="R243" s="370"/>
      <c r="S243" s="370"/>
      <c r="T243" s="370"/>
      <c r="U243" s="359"/>
      <c r="V243" s="360"/>
      <c r="W243" s="360" t="s">
        <v>362</v>
      </c>
      <c r="X243" s="360"/>
      <c r="Y243" s="332" t="s">
        <v>70</v>
      </c>
    </row>
    <row r="244" spans="1:25" ht="22.5" customHeight="1" thickTop="1" thickBot="1">
      <c r="A244" s="360" t="s">
        <v>67</v>
      </c>
      <c r="B244" s="352" t="s">
        <v>85</v>
      </c>
      <c r="C244" s="352" t="s">
        <v>89</v>
      </c>
      <c r="D244" s="352" t="s">
        <v>71</v>
      </c>
      <c r="E244" s="352" t="s">
        <v>85</v>
      </c>
      <c r="F244" s="351" t="s">
        <v>89</v>
      </c>
      <c r="G244" s="352"/>
      <c r="H244" s="352"/>
      <c r="I244" s="352"/>
      <c r="J244" s="357" t="s">
        <v>363</v>
      </c>
      <c r="K244" s="370"/>
      <c r="L244" s="370"/>
      <c r="M244" s="370"/>
      <c r="N244" s="370"/>
      <c r="O244" s="370"/>
      <c r="P244" s="370"/>
      <c r="Q244" s="370"/>
      <c r="R244" s="370"/>
      <c r="S244" s="370"/>
      <c r="T244" s="370"/>
      <c r="U244" s="359"/>
      <c r="V244" s="360"/>
      <c r="W244" s="360" t="s">
        <v>364</v>
      </c>
      <c r="X244" s="360"/>
      <c r="Y244" s="332" t="s">
        <v>70</v>
      </c>
    </row>
    <row r="245" spans="1:25" ht="22.5" customHeight="1" thickTop="1" thickBot="1">
      <c r="A245" s="360" t="s">
        <v>67</v>
      </c>
      <c r="B245" s="352" t="s">
        <v>85</v>
      </c>
      <c r="C245" s="352" t="s">
        <v>89</v>
      </c>
      <c r="D245" s="352" t="s">
        <v>71</v>
      </c>
      <c r="E245" s="352" t="s">
        <v>85</v>
      </c>
      <c r="F245" s="351" t="s">
        <v>91</v>
      </c>
      <c r="G245" s="352"/>
      <c r="H245" s="352"/>
      <c r="I245" s="352"/>
      <c r="J245" s="357" t="s">
        <v>365</v>
      </c>
      <c r="K245" s="370"/>
      <c r="L245" s="370"/>
      <c r="M245" s="370"/>
      <c r="N245" s="370"/>
      <c r="O245" s="370"/>
      <c r="P245" s="370"/>
      <c r="Q245" s="370"/>
      <c r="R245" s="370"/>
      <c r="S245" s="370"/>
      <c r="T245" s="370"/>
      <c r="U245" s="359"/>
      <c r="V245" s="360"/>
      <c r="W245" s="360" t="s">
        <v>366</v>
      </c>
      <c r="X245" s="360" t="s">
        <v>367</v>
      </c>
      <c r="Y245" s="332" t="s">
        <v>70</v>
      </c>
    </row>
    <row r="246" spans="1:25" s="144" customFormat="1" ht="22.5" customHeight="1" thickTop="1" thickBot="1">
      <c r="A246" s="356" t="s">
        <v>67</v>
      </c>
      <c r="B246" s="351" t="s">
        <v>85</v>
      </c>
      <c r="C246" s="351" t="s">
        <v>89</v>
      </c>
      <c r="D246" s="351" t="s">
        <v>71</v>
      </c>
      <c r="E246" s="351" t="s">
        <v>87</v>
      </c>
      <c r="F246" s="351"/>
      <c r="G246" s="351"/>
      <c r="H246" s="352"/>
      <c r="I246" s="352"/>
      <c r="J246" s="353" t="s">
        <v>368</v>
      </c>
      <c r="K246" s="369"/>
      <c r="L246" s="369"/>
      <c r="M246" s="369"/>
      <c r="N246" s="369"/>
      <c r="O246" s="369"/>
      <c r="P246" s="369"/>
      <c r="Q246" s="369"/>
      <c r="R246" s="369"/>
      <c r="S246" s="369"/>
      <c r="T246" s="369"/>
      <c r="U246" s="355"/>
      <c r="V246" s="356"/>
      <c r="W246" s="356" t="s">
        <v>369</v>
      </c>
      <c r="X246" s="356"/>
      <c r="Y246" s="332" t="s">
        <v>70</v>
      </c>
    </row>
    <row r="247" spans="1:25" s="144" customFormat="1" ht="22.5" customHeight="1" thickTop="1" thickBot="1">
      <c r="A247" s="345" t="s">
        <v>67</v>
      </c>
      <c r="B247" s="346" t="s">
        <v>85</v>
      </c>
      <c r="C247" s="346" t="s">
        <v>89</v>
      </c>
      <c r="D247" s="346" t="s">
        <v>85</v>
      </c>
      <c r="E247" s="346"/>
      <c r="F247" s="346"/>
      <c r="G247" s="346"/>
      <c r="H247" s="347"/>
      <c r="I247" s="347"/>
      <c r="J247" s="348" t="s">
        <v>370</v>
      </c>
      <c r="K247" s="366"/>
      <c r="L247" s="366"/>
      <c r="M247" s="366"/>
      <c r="N247" s="366"/>
      <c r="O247" s="366"/>
      <c r="P247" s="366"/>
      <c r="Q247" s="366"/>
      <c r="R247" s="366"/>
      <c r="S247" s="366"/>
      <c r="T247" s="366"/>
      <c r="U247" s="350"/>
      <c r="V247" s="346"/>
      <c r="W247" s="345" t="s">
        <v>371</v>
      </c>
      <c r="X247" s="345" t="s">
        <v>372</v>
      </c>
      <c r="Y247" s="332" t="s">
        <v>70</v>
      </c>
    </row>
    <row r="248" spans="1:25" s="144" customFormat="1" ht="22.5" customHeight="1" thickTop="1" thickBot="1">
      <c r="A248" s="356" t="s">
        <v>67</v>
      </c>
      <c r="B248" s="351" t="s">
        <v>85</v>
      </c>
      <c r="C248" s="351" t="s">
        <v>89</v>
      </c>
      <c r="D248" s="351" t="s">
        <v>85</v>
      </c>
      <c r="E248" s="351" t="s">
        <v>71</v>
      </c>
      <c r="F248" s="351"/>
      <c r="G248" s="351"/>
      <c r="H248" s="352"/>
      <c r="I248" s="352"/>
      <c r="J248" s="353" t="s">
        <v>373</v>
      </c>
      <c r="K248" s="372"/>
      <c r="L248" s="372"/>
      <c r="M248" s="372"/>
      <c r="N248" s="372"/>
      <c r="O248" s="372"/>
      <c r="P248" s="372"/>
      <c r="Q248" s="372"/>
      <c r="R248" s="372"/>
      <c r="S248" s="372"/>
      <c r="T248" s="372"/>
      <c r="U248" s="373"/>
      <c r="V248" s="351"/>
      <c r="W248" s="356" t="s">
        <v>374</v>
      </c>
      <c r="X248" s="356"/>
      <c r="Y248" s="332" t="s">
        <v>70</v>
      </c>
    </row>
    <row r="249" spans="1:25" ht="22.5" customHeight="1" thickTop="1" thickBot="1">
      <c r="A249" s="360" t="s">
        <v>67</v>
      </c>
      <c r="B249" s="352" t="s">
        <v>85</v>
      </c>
      <c r="C249" s="352" t="s">
        <v>89</v>
      </c>
      <c r="D249" s="352" t="s">
        <v>85</v>
      </c>
      <c r="E249" s="352" t="s">
        <v>71</v>
      </c>
      <c r="F249" s="351" t="s">
        <v>71</v>
      </c>
      <c r="G249" s="352"/>
      <c r="H249" s="352"/>
      <c r="I249" s="352"/>
      <c r="J249" s="357" t="s">
        <v>375</v>
      </c>
      <c r="K249" s="374"/>
      <c r="L249" s="374"/>
      <c r="M249" s="374"/>
      <c r="N249" s="374"/>
      <c r="O249" s="374"/>
      <c r="P249" s="374"/>
      <c r="Q249" s="374"/>
      <c r="R249" s="374"/>
      <c r="S249" s="374"/>
      <c r="T249" s="374"/>
      <c r="U249" s="375"/>
      <c r="V249" s="352"/>
      <c r="W249" s="360" t="s">
        <v>376</v>
      </c>
      <c r="X249" s="360"/>
      <c r="Y249" s="332" t="s">
        <v>70</v>
      </c>
    </row>
    <row r="250" spans="1:25" ht="22.5" customHeight="1" thickTop="1" thickBot="1">
      <c r="A250" s="360" t="s">
        <v>67</v>
      </c>
      <c r="B250" s="352" t="s">
        <v>85</v>
      </c>
      <c r="C250" s="352" t="s">
        <v>89</v>
      </c>
      <c r="D250" s="352" t="s">
        <v>85</v>
      </c>
      <c r="E250" s="352" t="s">
        <v>71</v>
      </c>
      <c r="F250" s="351" t="s">
        <v>85</v>
      </c>
      <c r="G250" s="352"/>
      <c r="H250" s="352"/>
      <c r="I250" s="352"/>
      <c r="J250" s="357" t="s">
        <v>377</v>
      </c>
      <c r="K250" s="374"/>
      <c r="L250" s="374"/>
      <c r="M250" s="374"/>
      <c r="N250" s="374"/>
      <c r="O250" s="374"/>
      <c r="P250" s="374"/>
      <c r="Q250" s="374"/>
      <c r="R250" s="374"/>
      <c r="S250" s="374"/>
      <c r="T250" s="374"/>
      <c r="U250" s="375"/>
      <c r="V250" s="352"/>
      <c r="W250" s="360" t="s">
        <v>378</v>
      </c>
      <c r="X250" s="360"/>
      <c r="Y250" s="332" t="s">
        <v>70</v>
      </c>
    </row>
    <row r="251" spans="1:25" s="144" customFormat="1" ht="22.5" customHeight="1" thickTop="1" thickBot="1">
      <c r="A251" s="356" t="s">
        <v>67</v>
      </c>
      <c r="B251" s="351" t="s">
        <v>85</v>
      </c>
      <c r="C251" s="351" t="s">
        <v>89</v>
      </c>
      <c r="D251" s="351" t="s">
        <v>85</v>
      </c>
      <c r="E251" s="351" t="s">
        <v>85</v>
      </c>
      <c r="F251" s="351"/>
      <c r="G251" s="351"/>
      <c r="H251" s="352"/>
      <c r="I251" s="352"/>
      <c r="J251" s="353" t="s">
        <v>379</v>
      </c>
      <c r="K251" s="372"/>
      <c r="L251" s="372"/>
      <c r="M251" s="372"/>
      <c r="N251" s="372"/>
      <c r="O251" s="372"/>
      <c r="P251" s="372"/>
      <c r="Q251" s="372"/>
      <c r="R251" s="372"/>
      <c r="S251" s="372"/>
      <c r="T251" s="372"/>
      <c r="U251" s="373"/>
      <c r="V251" s="351"/>
      <c r="W251" s="356" t="s">
        <v>380</v>
      </c>
      <c r="X251" s="356"/>
      <c r="Y251" s="332" t="s">
        <v>70</v>
      </c>
    </row>
    <row r="252" spans="1:25" s="144" customFormat="1" ht="22.5" customHeight="1" thickTop="1" thickBot="1">
      <c r="A252" s="356" t="s">
        <v>67</v>
      </c>
      <c r="B252" s="351" t="s">
        <v>85</v>
      </c>
      <c r="C252" s="351" t="s">
        <v>89</v>
      </c>
      <c r="D252" s="351" t="s">
        <v>85</v>
      </c>
      <c r="E252" s="351" t="s">
        <v>87</v>
      </c>
      <c r="F252" s="351"/>
      <c r="G252" s="351"/>
      <c r="H252" s="352"/>
      <c r="I252" s="352"/>
      <c r="J252" s="353" t="s">
        <v>381</v>
      </c>
      <c r="K252" s="372"/>
      <c r="L252" s="372"/>
      <c r="M252" s="372"/>
      <c r="N252" s="372"/>
      <c r="O252" s="372"/>
      <c r="P252" s="372"/>
      <c r="Q252" s="372"/>
      <c r="R252" s="372"/>
      <c r="S252" s="372"/>
      <c r="T252" s="372"/>
      <c r="U252" s="373"/>
      <c r="V252" s="351"/>
      <c r="W252" s="356" t="s">
        <v>382</v>
      </c>
      <c r="X252" s="356"/>
      <c r="Y252" s="332" t="s">
        <v>70</v>
      </c>
    </row>
    <row r="253" spans="1:25" s="144" customFormat="1" ht="22.5" customHeight="1" thickTop="1" thickBot="1">
      <c r="A253" s="345" t="s">
        <v>67</v>
      </c>
      <c r="B253" s="346" t="s">
        <v>85</v>
      </c>
      <c r="C253" s="346" t="s">
        <v>89</v>
      </c>
      <c r="D253" s="346" t="s">
        <v>87</v>
      </c>
      <c r="E253" s="346"/>
      <c r="F253" s="346"/>
      <c r="G253" s="346"/>
      <c r="H253" s="347"/>
      <c r="I253" s="347"/>
      <c r="J253" s="348" t="s">
        <v>341</v>
      </c>
      <c r="K253" s="376"/>
      <c r="L253" s="376"/>
      <c r="M253" s="376"/>
      <c r="N253" s="376"/>
      <c r="O253" s="376"/>
      <c r="P253" s="376"/>
      <c r="Q253" s="376"/>
      <c r="R253" s="376"/>
      <c r="S253" s="376"/>
      <c r="T253" s="376"/>
      <c r="U253" s="377"/>
      <c r="V253" s="346"/>
      <c r="W253" s="345" t="s">
        <v>383</v>
      </c>
      <c r="X253" s="345" t="s">
        <v>343</v>
      </c>
      <c r="Y253" s="332" t="s">
        <v>70</v>
      </c>
    </row>
    <row r="254" spans="1:25" s="144" customFormat="1" ht="22.5" customHeight="1" thickTop="1" thickBot="1">
      <c r="A254" s="339" t="s">
        <v>67</v>
      </c>
      <c r="B254" s="340" t="s">
        <v>85</v>
      </c>
      <c r="C254" s="340" t="s">
        <v>91</v>
      </c>
      <c r="D254" s="340"/>
      <c r="E254" s="340"/>
      <c r="F254" s="340"/>
      <c r="G254" s="340"/>
      <c r="H254" s="341"/>
      <c r="I254" s="341"/>
      <c r="J254" s="378" t="s">
        <v>384</v>
      </c>
      <c r="K254" s="379"/>
      <c r="L254" s="379"/>
      <c r="M254" s="379"/>
      <c r="N254" s="379"/>
      <c r="O254" s="379"/>
      <c r="P254" s="379"/>
      <c r="Q254" s="379"/>
      <c r="R254" s="379"/>
      <c r="S254" s="379"/>
      <c r="T254" s="379"/>
      <c r="U254" s="380"/>
      <c r="V254" s="340"/>
      <c r="W254" s="340" t="s">
        <v>385</v>
      </c>
      <c r="X254" s="340"/>
      <c r="Y254" s="332" t="s">
        <v>70</v>
      </c>
    </row>
    <row r="255" spans="1:25" s="144" customFormat="1" ht="22.5" customHeight="1" thickTop="1" thickBot="1">
      <c r="A255" s="345" t="s">
        <v>67</v>
      </c>
      <c r="B255" s="346" t="s">
        <v>85</v>
      </c>
      <c r="C255" s="346" t="s">
        <v>91</v>
      </c>
      <c r="D255" s="346" t="s">
        <v>71</v>
      </c>
      <c r="E255" s="346"/>
      <c r="F255" s="346"/>
      <c r="G255" s="346"/>
      <c r="H255" s="347"/>
      <c r="I255" s="347"/>
      <c r="J255" s="348" t="s">
        <v>386</v>
      </c>
      <c r="K255" s="376"/>
      <c r="L255" s="376"/>
      <c r="M255" s="376"/>
      <c r="N255" s="376"/>
      <c r="O255" s="376"/>
      <c r="P255" s="376"/>
      <c r="Q255" s="376"/>
      <c r="R255" s="376"/>
      <c r="S255" s="376"/>
      <c r="T255" s="376"/>
      <c r="U255" s="377"/>
      <c r="V255" s="346"/>
      <c r="W255" s="345"/>
      <c r="X255" s="345"/>
      <c r="Y255" s="332"/>
    </row>
    <row r="256" spans="1:25" ht="22.5" customHeight="1" thickTop="1" thickBot="1">
      <c r="A256" s="360" t="s">
        <v>67</v>
      </c>
      <c r="B256" s="352" t="s">
        <v>85</v>
      </c>
      <c r="C256" s="352" t="s">
        <v>91</v>
      </c>
      <c r="D256" s="352" t="s">
        <v>71</v>
      </c>
      <c r="E256" s="351" t="s">
        <v>71</v>
      </c>
      <c r="F256" s="352"/>
      <c r="G256" s="352"/>
      <c r="H256" s="352"/>
      <c r="I256" s="352"/>
      <c r="J256" s="357" t="s">
        <v>387</v>
      </c>
      <c r="K256" s="381"/>
      <c r="L256" s="381"/>
      <c r="M256" s="381"/>
      <c r="N256" s="381"/>
      <c r="O256" s="381"/>
      <c r="P256" s="381"/>
      <c r="Q256" s="381"/>
      <c r="R256" s="381"/>
      <c r="S256" s="381"/>
      <c r="T256" s="381"/>
      <c r="U256" s="382"/>
      <c r="V256" s="352"/>
      <c r="W256" s="360"/>
      <c r="X256" s="360"/>
      <c r="Y256" s="365"/>
    </row>
    <row r="257" spans="1:25" ht="22.5" customHeight="1" thickTop="1" thickBot="1">
      <c r="A257" s="360" t="s">
        <v>67</v>
      </c>
      <c r="B257" s="352" t="s">
        <v>85</v>
      </c>
      <c r="C257" s="352" t="s">
        <v>91</v>
      </c>
      <c r="D257" s="352" t="s">
        <v>71</v>
      </c>
      <c r="E257" s="351" t="s">
        <v>85</v>
      </c>
      <c r="F257" s="352"/>
      <c r="G257" s="352"/>
      <c r="H257" s="352"/>
      <c r="I257" s="352"/>
      <c r="J257" s="357" t="s">
        <v>388</v>
      </c>
      <c r="K257" s="381"/>
      <c r="L257" s="381"/>
      <c r="M257" s="381"/>
      <c r="N257" s="381"/>
      <c r="O257" s="381"/>
      <c r="P257" s="381"/>
      <c r="Q257" s="381"/>
      <c r="R257" s="381"/>
      <c r="S257" s="381"/>
      <c r="T257" s="381"/>
      <c r="U257" s="382"/>
      <c r="V257" s="352"/>
      <c r="W257" s="360"/>
      <c r="X257" s="360"/>
      <c r="Y257" s="365"/>
    </row>
    <row r="258" spans="1:25" ht="22.5" customHeight="1" thickTop="1" thickBot="1">
      <c r="A258" s="360" t="s">
        <v>67</v>
      </c>
      <c r="B258" s="352" t="s">
        <v>85</v>
      </c>
      <c r="C258" s="352" t="s">
        <v>91</v>
      </c>
      <c r="D258" s="352" t="s">
        <v>71</v>
      </c>
      <c r="E258" s="351" t="s">
        <v>87</v>
      </c>
      <c r="F258" s="352"/>
      <c r="G258" s="352"/>
      <c r="H258" s="352"/>
      <c r="I258" s="352"/>
      <c r="J258" s="357" t="s">
        <v>389</v>
      </c>
      <c r="K258" s="381"/>
      <c r="L258" s="381"/>
      <c r="M258" s="381"/>
      <c r="N258" s="381"/>
      <c r="O258" s="381"/>
      <c r="P258" s="381"/>
      <c r="Q258" s="381"/>
      <c r="R258" s="381"/>
      <c r="S258" s="381"/>
      <c r="T258" s="381"/>
      <c r="U258" s="382"/>
      <c r="V258" s="352"/>
      <c r="W258" s="360"/>
      <c r="X258" s="360"/>
      <c r="Y258" s="365"/>
    </row>
    <row r="259" spans="1:25" s="144" customFormat="1" ht="22.5" customHeight="1" thickTop="1" thickBot="1">
      <c r="A259" s="345" t="s">
        <v>67</v>
      </c>
      <c r="B259" s="346" t="s">
        <v>85</v>
      </c>
      <c r="C259" s="346" t="s">
        <v>91</v>
      </c>
      <c r="D259" s="346" t="s">
        <v>85</v>
      </c>
      <c r="E259" s="346"/>
      <c r="F259" s="346"/>
      <c r="G259" s="346"/>
      <c r="H259" s="347"/>
      <c r="I259" s="347"/>
      <c r="J259" s="348" t="s">
        <v>390</v>
      </c>
      <c r="K259" s="376"/>
      <c r="L259" s="376"/>
      <c r="M259" s="376"/>
      <c r="N259" s="376"/>
      <c r="O259" s="376"/>
      <c r="P259" s="376"/>
      <c r="Q259" s="376"/>
      <c r="R259" s="376"/>
      <c r="S259" s="376"/>
      <c r="T259" s="376"/>
      <c r="U259" s="377"/>
      <c r="V259" s="346"/>
      <c r="W259" s="345"/>
      <c r="X259" s="345"/>
      <c r="Y259" s="332" t="s">
        <v>70</v>
      </c>
    </row>
    <row r="260" spans="1:25" s="144" customFormat="1" ht="22.5" customHeight="1" thickTop="1" thickBot="1">
      <c r="A260" s="356" t="s">
        <v>67</v>
      </c>
      <c r="B260" s="351" t="s">
        <v>85</v>
      </c>
      <c r="C260" s="351" t="s">
        <v>91</v>
      </c>
      <c r="D260" s="351" t="s">
        <v>85</v>
      </c>
      <c r="E260" s="351" t="s">
        <v>71</v>
      </c>
      <c r="F260" s="351"/>
      <c r="G260" s="351"/>
      <c r="H260" s="352"/>
      <c r="I260" s="352"/>
      <c r="J260" s="353" t="s">
        <v>391</v>
      </c>
      <c r="K260" s="372"/>
      <c r="L260" s="372"/>
      <c r="M260" s="372"/>
      <c r="N260" s="372"/>
      <c r="O260" s="372"/>
      <c r="P260" s="372"/>
      <c r="Q260" s="372"/>
      <c r="R260" s="372"/>
      <c r="S260" s="372"/>
      <c r="T260" s="372"/>
      <c r="U260" s="373"/>
      <c r="V260" s="351"/>
      <c r="W260" s="356"/>
      <c r="X260" s="356"/>
      <c r="Y260" s="332" t="s">
        <v>70</v>
      </c>
    </row>
    <row r="261" spans="1:25" s="144" customFormat="1" ht="22.5" customHeight="1" thickTop="1" thickBot="1">
      <c r="A261" s="345" t="s">
        <v>67</v>
      </c>
      <c r="B261" s="346" t="s">
        <v>85</v>
      </c>
      <c r="C261" s="346" t="s">
        <v>91</v>
      </c>
      <c r="D261" s="346" t="s">
        <v>87</v>
      </c>
      <c r="E261" s="346"/>
      <c r="F261" s="346"/>
      <c r="G261" s="346"/>
      <c r="H261" s="347"/>
      <c r="I261" s="347"/>
      <c r="J261" s="348" t="s">
        <v>392</v>
      </c>
      <c r="K261" s="376"/>
      <c r="L261" s="376"/>
      <c r="M261" s="376"/>
      <c r="N261" s="376"/>
      <c r="O261" s="376"/>
      <c r="P261" s="376"/>
      <c r="Q261" s="376"/>
      <c r="R261" s="376"/>
      <c r="S261" s="376"/>
      <c r="T261" s="376"/>
      <c r="U261" s="377"/>
      <c r="V261" s="346"/>
      <c r="W261" s="345"/>
      <c r="X261" s="345"/>
      <c r="Y261" s="332" t="s">
        <v>70</v>
      </c>
    </row>
    <row r="262" spans="1:25" s="144" customFormat="1" ht="22.5" customHeight="1" thickTop="1" thickBot="1">
      <c r="A262" s="345" t="s">
        <v>67</v>
      </c>
      <c r="B262" s="346" t="s">
        <v>85</v>
      </c>
      <c r="C262" s="346" t="s">
        <v>91</v>
      </c>
      <c r="D262" s="346" t="s">
        <v>89</v>
      </c>
      <c r="E262" s="346"/>
      <c r="F262" s="346"/>
      <c r="G262" s="346"/>
      <c r="H262" s="347"/>
      <c r="I262" s="347"/>
      <c r="J262" s="348" t="s">
        <v>393</v>
      </c>
      <c r="K262" s="376"/>
      <c r="L262" s="376"/>
      <c r="M262" s="376"/>
      <c r="N262" s="376"/>
      <c r="O262" s="376"/>
      <c r="P262" s="376"/>
      <c r="Q262" s="376"/>
      <c r="R262" s="376"/>
      <c r="S262" s="376"/>
      <c r="T262" s="376"/>
      <c r="U262" s="377"/>
      <c r="V262" s="346"/>
      <c r="W262" s="345"/>
      <c r="X262" s="345"/>
      <c r="Y262" s="332" t="s">
        <v>70</v>
      </c>
    </row>
    <row r="263" spans="1:25" s="144" customFormat="1" ht="22.5" customHeight="1" thickTop="1" thickBot="1">
      <c r="A263" s="345" t="s">
        <v>67</v>
      </c>
      <c r="B263" s="346" t="s">
        <v>85</v>
      </c>
      <c r="C263" s="346" t="s">
        <v>91</v>
      </c>
      <c r="D263" s="346" t="s">
        <v>91</v>
      </c>
      <c r="E263" s="346"/>
      <c r="F263" s="346"/>
      <c r="G263" s="346"/>
      <c r="H263" s="347"/>
      <c r="I263" s="347"/>
      <c r="J263" s="348" t="s">
        <v>394</v>
      </c>
      <c r="K263" s="376"/>
      <c r="L263" s="376"/>
      <c r="M263" s="376"/>
      <c r="N263" s="376"/>
      <c r="O263" s="376"/>
      <c r="P263" s="376"/>
      <c r="Q263" s="376"/>
      <c r="R263" s="376"/>
      <c r="S263" s="376"/>
      <c r="T263" s="376"/>
      <c r="U263" s="377"/>
      <c r="V263" s="346"/>
      <c r="W263" s="345"/>
      <c r="X263" s="345"/>
      <c r="Y263" s="332" t="s">
        <v>70</v>
      </c>
    </row>
    <row r="264" spans="1:25" s="144" customFormat="1" ht="22.5" customHeight="1" thickTop="1" thickBot="1">
      <c r="A264" s="356" t="s">
        <v>67</v>
      </c>
      <c r="B264" s="351" t="s">
        <v>85</v>
      </c>
      <c r="C264" s="351" t="s">
        <v>91</v>
      </c>
      <c r="D264" s="351" t="s">
        <v>91</v>
      </c>
      <c r="E264" s="351" t="s">
        <v>71</v>
      </c>
      <c r="F264" s="351"/>
      <c r="G264" s="351"/>
      <c r="H264" s="352"/>
      <c r="I264" s="352"/>
      <c r="J264" s="353" t="s">
        <v>395</v>
      </c>
      <c r="K264" s="372"/>
      <c r="L264" s="372"/>
      <c r="M264" s="372"/>
      <c r="N264" s="372"/>
      <c r="O264" s="372"/>
      <c r="P264" s="372"/>
      <c r="Q264" s="372"/>
      <c r="R264" s="372"/>
      <c r="S264" s="372"/>
      <c r="T264" s="372"/>
      <c r="U264" s="373"/>
      <c r="V264" s="351"/>
      <c r="W264" s="356"/>
      <c r="X264" s="356"/>
      <c r="Y264" s="332" t="s">
        <v>70</v>
      </c>
    </row>
    <row r="265" spans="1:25" s="144" customFormat="1" ht="22.5" customHeight="1" thickTop="1" thickBot="1">
      <c r="A265" s="356" t="s">
        <v>67</v>
      </c>
      <c r="B265" s="351" t="s">
        <v>85</v>
      </c>
      <c r="C265" s="351" t="s">
        <v>91</v>
      </c>
      <c r="D265" s="351" t="s">
        <v>91</v>
      </c>
      <c r="E265" s="351" t="s">
        <v>85</v>
      </c>
      <c r="F265" s="351"/>
      <c r="G265" s="351"/>
      <c r="H265" s="352"/>
      <c r="I265" s="352"/>
      <c r="J265" s="353" t="s">
        <v>396</v>
      </c>
      <c r="K265" s="372"/>
      <c r="L265" s="372"/>
      <c r="M265" s="372"/>
      <c r="N265" s="372"/>
      <c r="O265" s="372"/>
      <c r="P265" s="372"/>
      <c r="Q265" s="372"/>
      <c r="R265" s="372"/>
      <c r="S265" s="372"/>
      <c r="T265" s="372"/>
      <c r="U265" s="373"/>
      <c r="V265" s="356"/>
      <c r="W265" s="356"/>
      <c r="X265" s="356"/>
      <c r="Y265" s="332" t="s">
        <v>70</v>
      </c>
    </row>
    <row r="266" spans="1:25" s="144" customFormat="1" ht="22.5" customHeight="1" thickTop="1" thickBot="1">
      <c r="A266" s="345" t="s">
        <v>67</v>
      </c>
      <c r="B266" s="346" t="s">
        <v>85</v>
      </c>
      <c r="C266" s="346" t="s">
        <v>91</v>
      </c>
      <c r="D266" s="346" t="s">
        <v>93</v>
      </c>
      <c r="E266" s="346"/>
      <c r="F266" s="346"/>
      <c r="G266" s="346"/>
      <c r="H266" s="347"/>
      <c r="I266" s="347"/>
      <c r="J266" s="348" t="s">
        <v>397</v>
      </c>
      <c r="K266" s="376"/>
      <c r="L266" s="376"/>
      <c r="M266" s="376"/>
      <c r="N266" s="376"/>
      <c r="O266" s="376"/>
      <c r="P266" s="376"/>
      <c r="Q266" s="376"/>
      <c r="R266" s="376"/>
      <c r="S266" s="376"/>
      <c r="T266" s="376"/>
      <c r="U266" s="377"/>
      <c r="V266" s="346"/>
      <c r="W266" s="345"/>
      <c r="X266" s="345"/>
      <c r="Y266" s="332" t="s">
        <v>70</v>
      </c>
    </row>
    <row r="267" spans="1:25" s="144" customFormat="1" ht="22.5" customHeight="1" thickTop="1" thickBot="1">
      <c r="A267" s="345" t="s">
        <v>67</v>
      </c>
      <c r="B267" s="346" t="s">
        <v>85</v>
      </c>
      <c r="C267" s="346" t="s">
        <v>91</v>
      </c>
      <c r="D267" s="346" t="s">
        <v>95</v>
      </c>
      <c r="E267" s="346"/>
      <c r="F267" s="346"/>
      <c r="G267" s="346"/>
      <c r="H267" s="347"/>
      <c r="I267" s="347"/>
      <c r="J267" s="348" t="s">
        <v>398</v>
      </c>
      <c r="K267" s="376"/>
      <c r="L267" s="376"/>
      <c r="M267" s="376"/>
      <c r="N267" s="376"/>
      <c r="O267" s="376"/>
      <c r="P267" s="376"/>
      <c r="Q267" s="376"/>
      <c r="R267" s="376"/>
      <c r="S267" s="376"/>
      <c r="T267" s="376"/>
      <c r="U267" s="377"/>
      <c r="V267" s="346"/>
      <c r="W267" s="345"/>
      <c r="X267" s="345"/>
      <c r="Y267" s="332" t="s">
        <v>70</v>
      </c>
    </row>
    <row r="268" spans="1:25" s="144" customFormat="1" ht="22.5" customHeight="1" thickTop="1" thickBot="1">
      <c r="A268" s="345" t="s">
        <v>67</v>
      </c>
      <c r="B268" s="346" t="s">
        <v>85</v>
      </c>
      <c r="C268" s="346" t="s">
        <v>91</v>
      </c>
      <c r="D268" s="346" t="s">
        <v>97</v>
      </c>
      <c r="E268" s="346"/>
      <c r="F268" s="346"/>
      <c r="G268" s="346"/>
      <c r="H268" s="347"/>
      <c r="I268" s="347"/>
      <c r="J268" s="348" t="s">
        <v>399</v>
      </c>
      <c r="K268" s="376"/>
      <c r="L268" s="376"/>
      <c r="M268" s="376"/>
      <c r="N268" s="376"/>
      <c r="O268" s="376"/>
      <c r="P268" s="376"/>
      <c r="Q268" s="376"/>
      <c r="R268" s="376"/>
      <c r="S268" s="376"/>
      <c r="T268" s="376"/>
      <c r="U268" s="377"/>
      <c r="V268" s="346"/>
      <c r="W268" s="345"/>
      <c r="X268" s="345"/>
      <c r="Y268" s="332" t="s">
        <v>70</v>
      </c>
    </row>
    <row r="269" spans="1:25" s="144" customFormat="1" ht="22.5" customHeight="1" thickTop="1" thickBot="1">
      <c r="A269" s="345" t="s">
        <v>67</v>
      </c>
      <c r="B269" s="346" t="s">
        <v>85</v>
      </c>
      <c r="C269" s="346" t="s">
        <v>91</v>
      </c>
      <c r="D269" s="346" t="s">
        <v>400</v>
      </c>
      <c r="E269" s="346"/>
      <c r="F269" s="346"/>
      <c r="G269" s="346"/>
      <c r="H269" s="347"/>
      <c r="I269" s="347"/>
      <c r="J269" s="348" t="s">
        <v>401</v>
      </c>
      <c r="K269" s="376"/>
      <c r="L269" s="376"/>
      <c r="M269" s="376"/>
      <c r="N269" s="376"/>
      <c r="O269" s="376"/>
      <c r="P269" s="376"/>
      <c r="Q269" s="376"/>
      <c r="R269" s="376"/>
      <c r="S269" s="376"/>
      <c r="T269" s="376"/>
      <c r="U269" s="377"/>
      <c r="V269" s="346"/>
      <c r="W269" s="345"/>
      <c r="X269" s="345"/>
      <c r="Y269" s="332" t="s">
        <v>70</v>
      </c>
    </row>
    <row r="270" spans="1:25" s="144" customFormat="1" ht="22.5" customHeight="1" thickTop="1" thickBot="1">
      <c r="A270" s="345" t="s">
        <v>67</v>
      </c>
      <c r="B270" s="346" t="s">
        <v>85</v>
      </c>
      <c r="C270" s="346" t="s">
        <v>91</v>
      </c>
      <c r="D270" s="346" t="s">
        <v>402</v>
      </c>
      <c r="E270" s="346"/>
      <c r="F270" s="346"/>
      <c r="G270" s="346"/>
      <c r="H270" s="347"/>
      <c r="I270" s="347"/>
      <c r="J270" s="348" t="s">
        <v>403</v>
      </c>
      <c r="K270" s="376"/>
      <c r="L270" s="376"/>
      <c r="M270" s="376"/>
      <c r="N270" s="376"/>
      <c r="O270" s="376"/>
      <c r="P270" s="376"/>
      <c r="Q270" s="376"/>
      <c r="R270" s="376"/>
      <c r="S270" s="376"/>
      <c r="T270" s="376"/>
      <c r="U270" s="377"/>
      <c r="V270" s="346"/>
      <c r="W270" s="345"/>
      <c r="X270" s="345"/>
      <c r="Y270" s="332" t="s">
        <v>70</v>
      </c>
    </row>
    <row r="271" spans="1:25" s="144" customFormat="1" ht="22.5" customHeight="1" thickTop="1" thickBot="1">
      <c r="A271" s="345" t="s">
        <v>67</v>
      </c>
      <c r="B271" s="346" t="s">
        <v>85</v>
      </c>
      <c r="C271" s="346" t="s">
        <v>91</v>
      </c>
      <c r="D271" s="346" t="s">
        <v>404</v>
      </c>
      <c r="E271" s="346"/>
      <c r="F271" s="346"/>
      <c r="G271" s="346"/>
      <c r="H271" s="347"/>
      <c r="I271" s="347"/>
      <c r="J271" s="348" t="s">
        <v>405</v>
      </c>
      <c r="K271" s="376"/>
      <c r="L271" s="376"/>
      <c r="M271" s="376"/>
      <c r="N271" s="376"/>
      <c r="O271" s="376"/>
      <c r="P271" s="376"/>
      <c r="Q271" s="376"/>
      <c r="R271" s="376"/>
      <c r="S271" s="376"/>
      <c r="T271" s="376"/>
      <c r="U271" s="377"/>
      <c r="V271" s="346"/>
      <c r="W271" s="345" t="s">
        <v>406</v>
      </c>
      <c r="X271" s="345"/>
      <c r="Y271" s="332" t="s">
        <v>70</v>
      </c>
    </row>
    <row r="272" spans="1:25" s="144" customFormat="1" ht="22.5" customHeight="1" thickTop="1" thickBot="1">
      <c r="A272" s="345" t="s">
        <v>67</v>
      </c>
      <c r="B272" s="346" t="s">
        <v>85</v>
      </c>
      <c r="C272" s="346" t="s">
        <v>91</v>
      </c>
      <c r="D272" s="346" t="s">
        <v>407</v>
      </c>
      <c r="E272" s="346"/>
      <c r="F272" s="346"/>
      <c r="G272" s="346"/>
      <c r="H272" s="347"/>
      <c r="I272" s="347"/>
      <c r="J272" s="348" t="s">
        <v>408</v>
      </c>
      <c r="K272" s="376"/>
      <c r="L272" s="376"/>
      <c r="M272" s="376"/>
      <c r="N272" s="376"/>
      <c r="O272" s="376"/>
      <c r="P272" s="376"/>
      <c r="Q272" s="376"/>
      <c r="R272" s="376"/>
      <c r="S272" s="376"/>
      <c r="T272" s="376"/>
      <c r="U272" s="377"/>
      <c r="V272" s="346"/>
      <c r="W272" s="345" t="s">
        <v>409</v>
      </c>
      <c r="X272" s="345"/>
      <c r="Y272" s="332" t="s">
        <v>70</v>
      </c>
    </row>
    <row r="273" spans="1:25" s="144" customFormat="1" ht="22.5" customHeight="1" thickTop="1" thickBot="1">
      <c r="A273" s="356" t="s">
        <v>67</v>
      </c>
      <c r="B273" s="351" t="s">
        <v>85</v>
      </c>
      <c r="C273" s="351" t="s">
        <v>91</v>
      </c>
      <c r="D273" s="351" t="s">
        <v>407</v>
      </c>
      <c r="E273" s="351" t="s">
        <v>71</v>
      </c>
      <c r="F273" s="351"/>
      <c r="G273" s="351"/>
      <c r="H273" s="352"/>
      <c r="I273" s="352"/>
      <c r="J273" s="353" t="s">
        <v>410</v>
      </c>
      <c r="K273" s="372"/>
      <c r="L273" s="372"/>
      <c r="M273" s="372"/>
      <c r="N273" s="372"/>
      <c r="O273" s="372"/>
      <c r="P273" s="372"/>
      <c r="Q273" s="372"/>
      <c r="R273" s="372"/>
      <c r="S273" s="372"/>
      <c r="T273" s="372"/>
      <c r="U273" s="373"/>
      <c r="V273" s="356"/>
      <c r="W273" s="356" t="s">
        <v>411</v>
      </c>
      <c r="X273" s="356"/>
      <c r="Y273" s="332" t="s">
        <v>70</v>
      </c>
    </row>
    <row r="274" spans="1:25" s="144" customFormat="1" ht="22.5" customHeight="1" thickTop="1" thickBot="1">
      <c r="A274" s="356" t="s">
        <v>67</v>
      </c>
      <c r="B274" s="351" t="s">
        <v>85</v>
      </c>
      <c r="C274" s="351" t="s">
        <v>91</v>
      </c>
      <c r="D274" s="351" t="s">
        <v>407</v>
      </c>
      <c r="E274" s="351" t="s">
        <v>85</v>
      </c>
      <c r="F274" s="351"/>
      <c r="G274" s="351"/>
      <c r="H274" s="352"/>
      <c r="I274" s="352"/>
      <c r="J274" s="353" t="s">
        <v>412</v>
      </c>
      <c r="K274" s="372"/>
      <c r="L274" s="372"/>
      <c r="M274" s="372"/>
      <c r="N274" s="372"/>
      <c r="O274" s="372"/>
      <c r="P274" s="372"/>
      <c r="Q274" s="372"/>
      <c r="R274" s="372"/>
      <c r="S274" s="372"/>
      <c r="T274" s="372"/>
      <c r="U274" s="373"/>
      <c r="V274" s="351"/>
      <c r="W274" s="356" t="s">
        <v>413</v>
      </c>
      <c r="X274" s="356"/>
      <c r="Y274" s="332" t="s">
        <v>70</v>
      </c>
    </row>
    <row r="275" spans="1:25" s="144" customFormat="1" ht="22.5" customHeight="1" thickTop="1" thickBot="1">
      <c r="A275" s="356" t="s">
        <v>67</v>
      </c>
      <c r="B275" s="351" t="s">
        <v>85</v>
      </c>
      <c r="C275" s="351" t="s">
        <v>91</v>
      </c>
      <c r="D275" s="351" t="s">
        <v>407</v>
      </c>
      <c r="E275" s="351" t="s">
        <v>87</v>
      </c>
      <c r="F275" s="351"/>
      <c r="G275" s="351"/>
      <c r="H275" s="352"/>
      <c r="I275" s="352"/>
      <c r="J275" s="353" t="s">
        <v>414</v>
      </c>
      <c r="K275" s="372"/>
      <c r="L275" s="372"/>
      <c r="M275" s="372"/>
      <c r="N275" s="372"/>
      <c r="O275" s="372"/>
      <c r="P275" s="372"/>
      <c r="Q275" s="372"/>
      <c r="R275" s="372"/>
      <c r="S275" s="372"/>
      <c r="T275" s="372"/>
      <c r="U275" s="373"/>
      <c r="V275" s="356"/>
      <c r="W275" s="356" t="s">
        <v>415</v>
      </c>
      <c r="X275" s="356"/>
      <c r="Y275" s="332" t="s">
        <v>70</v>
      </c>
    </row>
    <row r="276" spans="1:25" s="144" customFormat="1" ht="22.5" customHeight="1" thickTop="1" thickBot="1">
      <c r="A276" s="345" t="s">
        <v>67</v>
      </c>
      <c r="B276" s="346" t="s">
        <v>85</v>
      </c>
      <c r="C276" s="346" t="s">
        <v>91</v>
      </c>
      <c r="D276" s="346" t="s">
        <v>416</v>
      </c>
      <c r="E276" s="346"/>
      <c r="F276" s="346"/>
      <c r="G276" s="346"/>
      <c r="H276" s="347"/>
      <c r="I276" s="347"/>
      <c r="J276" s="348" t="s">
        <v>417</v>
      </c>
      <c r="K276" s="376"/>
      <c r="L276" s="376"/>
      <c r="M276" s="376"/>
      <c r="N276" s="376"/>
      <c r="O276" s="376"/>
      <c r="P276" s="376"/>
      <c r="Q276" s="376"/>
      <c r="R276" s="376"/>
      <c r="S276" s="376"/>
      <c r="T276" s="376"/>
      <c r="U276" s="377"/>
      <c r="V276" s="346"/>
      <c r="W276" s="346" t="s">
        <v>418</v>
      </c>
      <c r="X276" s="346"/>
      <c r="Y276" s="332" t="s">
        <v>70</v>
      </c>
    </row>
    <row r="277" spans="1:25" s="144" customFormat="1" ht="22.5" customHeight="1" thickTop="1" thickBot="1">
      <c r="A277" s="356" t="s">
        <v>67</v>
      </c>
      <c r="B277" s="351" t="s">
        <v>85</v>
      </c>
      <c r="C277" s="351" t="s">
        <v>91</v>
      </c>
      <c r="D277" s="351" t="s">
        <v>416</v>
      </c>
      <c r="E277" s="351" t="s">
        <v>71</v>
      </c>
      <c r="F277" s="351"/>
      <c r="G277" s="351"/>
      <c r="H277" s="352"/>
      <c r="I277" s="352"/>
      <c r="J277" s="353" t="s">
        <v>419</v>
      </c>
      <c r="K277" s="383"/>
      <c r="L277" s="383"/>
      <c r="M277" s="383"/>
      <c r="N277" s="383"/>
      <c r="O277" s="383"/>
      <c r="P277" s="383"/>
      <c r="Q277" s="383"/>
      <c r="R277" s="383"/>
      <c r="S277" s="383"/>
      <c r="T277" s="383"/>
      <c r="U277" s="384"/>
      <c r="V277" s="351"/>
      <c r="W277" s="351" t="s">
        <v>420</v>
      </c>
      <c r="X277" s="351"/>
      <c r="Y277" s="332" t="s">
        <v>70</v>
      </c>
    </row>
    <row r="278" spans="1:25" ht="22.5" customHeight="1" thickTop="1" thickBot="1">
      <c r="A278" s="360" t="s">
        <v>67</v>
      </c>
      <c r="B278" s="352" t="s">
        <v>85</v>
      </c>
      <c r="C278" s="352" t="s">
        <v>91</v>
      </c>
      <c r="D278" s="352" t="s">
        <v>416</v>
      </c>
      <c r="E278" s="352" t="s">
        <v>71</v>
      </c>
      <c r="F278" s="351" t="s">
        <v>71</v>
      </c>
      <c r="G278" s="352"/>
      <c r="H278" s="352"/>
      <c r="I278" s="352"/>
      <c r="J278" s="357" t="s">
        <v>421</v>
      </c>
      <c r="K278" s="383"/>
      <c r="L278" s="383"/>
      <c r="M278" s="383"/>
      <c r="N278" s="383"/>
      <c r="O278" s="383"/>
      <c r="P278" s="383"/>
      <c r="Q278" s="383"/>
      <c r="R278" s="383"/>
      <c r="S278" s="383"/>
      <c r="T278" s="383"/>
      <c r="U278" s="384"/>
      <c r="V278" s="351"/>
      <c r="W278" s="351"/>
      <c r="X278" s="351"/>
      <c r="Y278" s="332"/>
    </row>
    <row r="279" spans="1:25" ht="22.5" customHeight="1" thickTop="1" thickBot="1">
      <c r="A279" s="360" t="s">
        <v>67</v>
      </c>
      <c r="B279" s="352" t="s">
        <v>85</v>
      </c>
      <c r="C279" s="352" t="s">
        <v>91</v>
      </c>
      <c r="D279" s="352" t="s">
        <v>416</v>
      </c>
      <c r="E279" s="352" t="s">
        <v>71</v>
      </c>
      <c r="F279" s="351" t="s">
        <v>85</v>
      </c>
      <c r="G279" s="352"/>
      <c r="H279" s="352"/>
      <c r="I279" s="352"/>
      <c r="J279" s="357" t="s">
        <v>422</v>
      </c>
      <c r="K279" s="383"/>
      <c r="L279" s="383"/>
      <c r="M279" s="383"/>
      <c r="N279" s="383"/>
      <c r="O279" s="383"/>
      <c r="P279" s="383"/>
      <c r="Q279" s="383"/>
      <c r="R279" s="383"/>
      <c r="S279" s="383"/>
      <c r="T279" s="383"/>
      <c r="U279" s="384"/>
      <c r="V279" s="351"/>
      <c r="W279" s="351"/>
      <c r="X279" s="351"/>
      <c r="Y279" s="332"/>
    </row>
    <row r="280" spans="1:25" s="144" customFormat="1" ht="22.5" customHeight="1" thickTop="1" thickBot="1">
      <c r="A280" s="356" t="s">
        <v>67</v>
      </c>
      <c r="B280" s="351" t="s">
        <v>85</v>
      </c>
      <c r="C280" s="351" t="s">
        <v>91</v>
      </c>
      <c r="D280" s="351" t="s">
        <v>416</v>
      </c>
      <c r="E280" s="351" t="s">
        <v>85</v>
      </c>
      <c r="F280" s="351"/>
      <c r="G280" s="351"/>
      <c r="H280" s="352"/>
      <c r="I280" s="352"/>
      <c r="J280" s="353" t="s">
        <v>423</v>
      </c>
      <c r="K280" s="383"/>
      <c r="L280" s="383"/>
      <c r="M280" s="383"/>
      <c r="N280" s="383"/>
      <c r="O280" s="383"/>
      <c r="P280" s="383"/>
      <c r="Q280" s="383"/>
      <c r="R280" s="383"/>
      <c r="S280" s="383"/>
      <c r="T280" s="383"/>
      <c r="U280" s="384"/>
      <c r="V280" s="351"/>
      <c r="W280" s="351"/>
      <c r="X280" s="351"/>
      <c r="Y280" s="332" t="s">
        <v>70</v>
      </c>
    </row>
    <row r="281" spans="1:25" s="144" customFormat="1" ht="22.5" customHeight="1" thickTop="1" thickBot="1">
      <c r="A281" s="345">
        <v>1</v>
      </c>
      <c r="B281" s="346" t="s">
        <v>85</v>
      </c>
      <c r="C281" s="346" t="s">
        <v>91</v>
      </c>
      <c r="D281" s="346" t="s">
        <v>424</v>
      </c>
      <c r="E281" s="346"/>
      <c r="F281" s="346"/>
      <c r="G281" s="346"/>
      <c r="H281" s="347"/>
      <c r="I281" s="347"/>
      <c r="J281" s="348" t="s">
        <v>425</v>
      </c>
      <c r="K281" s="376"/>
      <c r="L281" s="376"/>
      <c r="M281" s="376"/>
      <c r="N281" s="376"/>
      <c r="O281" s="376"/>
      <c r="P281" s="376"/>
      <c r="Q281" s="376"/>
      <c r="R281" s="376"/>
      <c r="S281" s="376"/>
      <c r="T281" s="376"/>
      <c r="U281" s="377"/>
      <c r="V281" s="346"/>
      <c r="W281" s="346"/>
      <c r="X281" s="346"/>
      <c r="Y281" s="332"/>
    </row>
    <row r="282" spans="1:25" ht="22.5" customHeight="1" thickTop="1" thickBot="1">
      <c r="A282" s="360">
        <v>1</v>
      </c>
      <c r="B282" s="352" t="s">
        <v>85</v>
      </c>
      <c r="C282" s="352" t="s">
        <v>91</v>
      </c>
      <c r="D282" s="352" t="s">
        <v>424</v>
      </c>
      <c r="E282" s="351" t="s">
        <v>71</v>
      </c>
      <c r="F282" s="352"/>
      <c r="G282" s="352"/>
      <c r="H282" s="352"/>
      <c r="I282" s="352"/>
      <c r="J282" s="357" t="s">
        <v>426</v>
      </c>
      <c r="K282" s="381"/>
      <c r="L282" s="381"/>
      <c r="M282" s="381"/>
      <c r="N282" s="381"/>
      <c r="O282" s="381"/>
      <c r="P282" s="381"/>
      <c r="Q282" s="381"/>
      <c r="R282" s="381"/>
      <c r="S282" s="381"/>
      <c r="T282" s="381"/>
      <c r="U282" s="382"/>
      <c r="V282" s="352"/>
      <c r="W282" s="352"/>
      <c r="X282" s="352"/>
      <c r="Y282" s="365"/>
    </row>
    <row r="283" spans="1:25" ht="22.5" customHeight="1" thickTop="1" thickBot="1">
      <c r="A283" s="360">
        <v>1</v>
      </c>
      <c r="B283" s="352" t="s">
        <v>85</v>
      </c>
      <c r="C283" s="352" t="s">
        <v>91</v>
      </c>
      <c r="D283" s="352" t="s">
        <v>424</v>
      </c>
      <c r="E283" s="351" t="s">
        <v>85</v>
      </c>
      <c r="F283" s="352"/>
      <c r="G283" s="352"/>
      <c r="H283" s="352"/>
      <c r="I283" s="352"/>
      <c r="J283" s="357" t="s">
        <v>427</v>
      </c>
      <c r="K283" s="381"/>
      <c r="L283" s="381"/>
      <c r="M283" s="381"/>
      <c r="N283" s="381"/>
      <c r="O283" s="381"/>
      <c r="P283" s="381"/>
      <c r="Q283" s="381"/>
      <c r="R283" s="381"/>
      <c r="S283" s="381"/>
      <c r="T283" s="381"/>
      <c r="U283" s="382"/>
      <c r="V283" s="352"/>
      <c r="W283" s="352"/>
      <c r="X283" s="352"/>
      <c r="Y283" s="365"/>
    </row>
    <row r="284" spans="1:25" s="144" customFormat="1" ht="22.5" customHeight="1" thickTop="1" thickBot="1">
      <c r="A284" s="339" t="s">
        <v>67</v>
      </c>
      <c r="B284" s="340" t="s">
        <v>85</v>
      </c>
      <c r="C284" s="340" t="s">
        <v>93</v>
      </c>
      <c r="D284" s="340"/>
      <c r="E284" s="340"/>
      <c r="F284" s="340"/>
      <c r="G284" s="340"/>
      <c r="H284" s="341"/>
      <c r="I284" s="341"/>
      <c r="J284" s="342" t="s">
        <v>428</v>
      </c>
      <c r="K284" s="385"/>
      <c r="L284" s="385"/>
      <c r="M284" s="385"/>
      <c r="N284" s="385"/>
      <c r="O284" s="385"/>
      <c r="P284" s="385"/>
      <c r="Q284" s="385"/>
      <c r="R284" s="385"/>
      <c r="S284" s="385"/>
      <c r="T284" s="385"/>
      <c r="U284" s="386"/>
      <c r="V284" s="340"/>
      <c r="W284" s="340" t="s">
        <v>429</v>
      </c>
      <c r="X284" s="340" t="s">
        <v>430</v>
      </c>
      <c r="Y284" s="332" t="s">
        <v>70</v>
      </c>
    </row>
    <row r="285" spans="1:25" s="144" customFormat="1" ht="22.5" customHeight="1" thickTop="1" thickBot="1">
      <c r="A285" s="345" t="s">
        <v>67</v>
      </c>
      <c r="B285" s="346" t="s">
        <v>85</v>
      </c>
      <c r="C285" s="346" t="s">
        <v>93</v>
      </c>
      <c r="D285" s="346" t="s">
        <v>71</v>
      </c>
      <c r="E285" s="346"/>
      <c r="F285" s="346"/>
      <c r="G285" s="346"/>
      <c r="H285" s="347"/>
      <c r="I285" s="347"/>
      <c r="J285" s="348" t="s">
        <v>431</v>
      </c>
      <c r="K285" s="376"/>
      <c r="L285" s="376"/>
      <c r="M285" s="376"/>
      <c r="N285" s="376"/>
      <c r="O285" s="376"/>
      <c r="P285" s="376"/>
      <c r="Q285" s="376"/>
      <c r="R285" s="376"/>
      <c r="S285" s="376"/>
      <c r="T285" s="376"/>
      <c r="U285" s="377"/>
      <c r="V285" s="346"/>
      <c r="W285" s="345"/>
      <c r="X285" s="345"/>
      <c r="Y285" s="332" t="s">
        <v>70</v>
      </c>
    </row>
    <row r="286" spans="1:25" s="144" customFormat="1" ht="22.5" customHeight="1" thickTop="1" thickBot="1">
      <c r="A286" s="356" t="s">
        <v>67</v>
      </c>
      <c r="B286" s="351" t="s">
        <v>85</v>
      </c>
      <c r="C286" s="351" t="s">
        <v>93</v>
      </c>
      <c r="D286" s="351" t="s">
        <v>71</v>
      </c>
      <c r="E286" s="351" t="s">
        <v>71</v>
      </c>
      <c r="F286" s="351"/>
      <c r="G286" s="351"/>
      <c r="H286" s="352"/>
      <c r="I286" s="352"/>
      <c r="J286" s="353" t="s">
        <v>432</v>
      </c>
      <c r="K286" s="372"/>
      <c r="L286" s="372"/>
      <c r="M286" s="372"/>
      <c r="N286" s="372"/>
      <c r="O286" s="372"/>
      <c r="P286" s="372"/>
      <c r="Q286" s="372"/>
      <c r="R286" s="372"/>
      <c r="S286" s="372"/>
      <c r="T286" s="372"/>
      <c r="U286" s="373"/>
      <c r="V286" s="351"/>
      <c r="W286" s="356"/>
      <c r="X286" s="356"/>
      <c r="Y286" s="332" t="s">
        <v>70</v>
      </c>
    </row>
    <row r="287" spans="1:25" s="144" customFormat="1" ht="22.5" customHeight="1" thickTop="1" thickBot="1">
      <c r="A287" s="345" t="s">
        <v>67</v>
      </c>
      <c r="B287" s="346" t="s">
        <v>85</v>
      </c>
      <c r="C287" s="346" t="s">
        <v>93</v>
      </c>
      <c r="D287" s="346" t="s">
        <v>85</v>
      </c>
      <c r="E287" s="346"/>
      <c r="F287" s="346"/>
      <c r="G287" s="346"/>
      <c r="H287" s="347"/>
      <c r="I287" s="347"/>
      <c r="J287" s="348" t="s">
        <v>433</v>
      </c>
      <c r="K287" s="376"/>
      <c r="L287" s="376"/>
      <c r="M287" s="376"/>
      <c r="N287" s="376"/>
      <c r="O287" s="376"/>
      <c r="P287" s="376"/>
      <c r="Q287" s="376"/>
      <c r="R287" s="376"/>
      <c r="S287" s="376"/>
      <c r="T287" s="376"/>
      <c r="U287" s="377"/>
      <c r="V287" s="346"/>
      <c r="W287" s="345"/>
      <c r="X287" s="345"/>
      <c r="Y287" s="332" t="s">
        <v>70</v>
      </c>
    </row>
    <row r="288" spans="1:25" s="144" customFormat="1" ht="22.5" customHeight="1" thickTop="1" thickBot="1">
      <c r="A288" s="345" t="s">
        <v>67</v>
      </c>
      <c r="B288" s="346" t="s">
        <v>85</v>
      </c>
      <c r="C288" s="346" t="s">
        <v>93</v>
      </c>
      <c r="D288" s="346" t="s">
        <v>87</v>
      </c>
      <c r="E288" s="346"/>
      <c r="F288" s="346"/>
      <c r="G288" s="346"/>
      <c r="H288" s="347"/>
      <c r="I288" s="347"/>
      <c r="J288" s="348" t="s">
        <v>434</v>
      </c>
      <c r="K288" s="376"/>
      <c r="L288" s="376"/>
      <c r="M288" s="376"/>
      <c r="N288" s="376"/>
      <c r="O288" s="376"/>
      <c r="P288" s="376"/>
      <c r="Q288" s="376"/>
      <c r="R288" s="376"/>
      <c r="S288" s="376"/>
      <c r="T288" s="376"/>
      <c r="U288" s="377"/>
      <c r="V288" s="346"/>
      <c r="W288" s="345"/>
      <c r="X288" s="345"/>
      <c r="Y288" s="332" t="s">
        <v>70</v>
      </c>
    </row>
    <row r="289" spans="1:25" ht="22.5" customHeight="1" thickTop="1" thickBot="1">
      <c r="A289" s="360" t="s">
        <v>67</v>
      </c>
      <c r="B289" s="352" t="s">
        <v>85</v>
      </c>
      <c r="C289" s="352" t="s">
        <v>93</v>
      </c>
      <c r="D289" s="352" t="s">
        <v>87</v>
      </c>
      <c r="E289" s="351" t="s">
        <v>71</v>
      </c>
      <c r="F289" s="352"/>
      <c r="G289" s="352"/>
      <c r="H289" s="352"/>
      <c r="I289" s="352"/>
      <c r="J289" s="357" t="s">
        <v>435</v>
      </c>
      <c r="K289" s="374"/>
      <c r="L289" s="374"/>
      <c r="M289" s="374"/>
      <c r="N289" s="374"/>
      <c r="O289" s="374"/>
      <c r="P289" s="374"/>
      <c r="Q289" s="374"/>
      <c r="R289" s="374"/>
      <c r="S289" s="374"/>
      <c r="T289" s="374"/>
      <c r="U289" s="375"/>
      <c r="V289" s="360"/>
      <c r="W289" s="360"/>
      <c r="X289" s="360"/>
      <c r="Y289" s="365" t="s">
        <v>70</v>
      </c>
    </row>
    <row r="290" spans="1:25" ht="22.5" customHeight="1" thickTop="1" thickBot="1">
      <c r="A290" s="360" t="s">
        <v>67</v>
      </c>
      <c r="B290" s="352" t="s">
        <v>85</v>
      </c>
      <c r="C290" s="352" t="s">
        <v>93</v>
      </c>
      <c r="D290" s="352" t="s">
        <v>87</v>
      </c>
      <c r="E290" s="351" t="s">
        <v>85</v>
      </c>
      <c r="F290" s="352"/>
      <c r="G290" s="352"/>
      <c r="H290" s="352"/>
      <c r="I290" s="352"/>
      <c r="J290" s="357" t="s">
        <v>436</v>
      </c>
      <c r="K290" s="374"/>
      <c r="L290" s="374"/>
      <c r="M290" s="374"/>
      <c r="N290" s="374"/>
      <c r="O290" s="374"/>
      <c r="P290" s="374"/>
      <c r="Q290" s="374"/>
      <c r="R290" s="374"/>
      <c r="S290" s="374"/>
      <c r="T290" s="374"/>
      <c r="U290" s="375"/>
      <c r="V290" s="360"/>
      <c r="W290" s="360"/>
      <c r="X290" s="360"/>
      <c r="Y290" s="365" t="s">
        <v>70</v>
      </c>
    </row>
    <row r="291" spans="1:25" ht="22.5" customHeight="1" thickTop="1" thickBot="1">
      <c r="A291" s="360" t="s">
        <v>67</v>
      </c>
      <c r="B291" s="352" t="s">
        <v>85</v>
      </c>
      <c r="C291" s="352" t="s">
        <v>93</v>
      </c>
      <c r="D291" s="352" t="s">
        <v>87</v>
      </c>
      <c r="E291" s="351" t="s">
        <v>87</v>
      </c>
      <c r="F291" s="352"/>
      <c r="G291" s="352"/>
      <c r="H291" s="352"/>
      <c r="I291" s="352"/>
      <c r="J291" s="357" t="s">
        <v>437</v>
      </c>
      <c r="K291" s="374"/>
      <c r="L291" s="374"/>
      <c r="M291" s="374"/>
      <c r="N291" s="374"/>
      <c r="O291" s="374"/>
      <c r="P291" s="374"/>
      <c r="Q291" s="374"/>
      <c r="R291" s="374"/>
      <c r="S291" s="374"/>
      <c r="T291" s="374"/>
      <c r="U291" s="375"/>
      <c r="V291" s="360"/>
      <c r="W291" s="360"/>
      <c r="X291" s="360"/>
      <c r="Y291" s="365" t="s">
        <v>70</v>
      </c>
    </row>
    <row r="292" spans="1:25" ht="22.5" customHeight="1" thickTop="1" thickBot="1">
      <c r="A292" s="360" t="s">
        <v>67</v>
      </c>
      <c r="B292" s="352" t="s">
        <v>85</v>
      </c>
      <c r="C292" s="352" t="s">
        <v>93</v>
      </c>
      <c r="D292" s="352" t="s">
        <v>87</v>
      </c>
      <c r="E292" s="351" t="s">
        <v>89</v>
      </c>
      <c r="F292" s="352"/>
      <c r="G292" s="352"/>
      <c r="H292" s="352"/>
      <c r="I292" s="352"/>
      <c r="J292" s="357" t="s">
        <v>438</v>
      </c>
      <c r="K292" s="374"/>
      <c r="L292" s="374"/>
      <c r="M292" s="374"/>
      <c r="N292" s="374"/>
      <c r="O292" s="374"/>
      <c r="P292" s="374"/>
      <c r="Q292" s="374"/>
      <c r="R292" s="374"/>
      <c r="S292" s="374"/>
      <c r="T292" s="374"/>
      <c r="U292" s="375"/>
      <c r="V292" s="360"/>
      <c r="W292" s="360"/>
      <c r="X292" s="360"/>
      <c r="Y292" s="365" t="s">
        <v>70</v>
      </c>
    </row>
    <row r="293" spans="1:25" ht="22.5" customHeight="1" thickTop="1" thickBot="1">
      <c r="A293" s="360" t="s">
        <v>67</v>
      </c>
      <c r="B293" s="352" t="s">
        <v>85</v>
      </c>
      <c r="C293" s="352" t="s">
        <v>93</v>
      </c>
      <c r="D293" s="352" t="s">
        <v>87</v>
      </c>
      <c r="E293" s="351" t="s">
        <v>91</v>
      </c>
      <c r="F293" s="352"/>
      <c r="G293" s="352"/>
      <c r="H293" s="352"/>
      <c r="I293" s="352"/>
      <c r="J293" s="357" t="s">
        <v>439</v>
      </c>
      <c r="K293" s="374"/>
      <c r="L293" s="374"/>
      <c r="M293" s="374"/>
      <c r="N293" s="374"/>
      <c r="O293" s="374"/>
      <c r="P293" s="374"/>
      <c r="Q293" s="374"/>
      <c r="R293" s="374"/>
      <c r="S293" s="374"/>
      <c r="T293" s="374"/>
      <c r="U293" s="375"/>
      <c r="V293" s="360"/>
      <c r="W293" s="360"/>
      <c r="X293" s="360"/>
      <c r="Y293" s="365" t="s">
        <v>70</v>
      </c>
    </row>
    <row r="294" spans="1:25" s="144" customFormat="1" ht="22.5" customHeight="1" thickTop="1" thickBot="1">
      <c r="A294" s="345" t="s">
        <v>67</v>
      </c>
      <c r="B294" s="346" t="s">
        <v>85</v>
      </c>
      <c r="C294" s="346" t="s">
        <v>93</v>
      </c>
      <c r="D294" s="346" t="s">
        <v>89</v>
      </c>
      <c r="E294" s="346"/>
      <c r="F294" s="346"/>
      <c r="G294" s="346"/>
      <c r="H294" s="347"/>
      <c r="I294" s="347"/>
      <c r="J294" s="348" t="s">
        <v>440</v>
      </c>
      <c r="K294" s="376"/>
      <c r="L294" s="376"/>
      <c r="M294" s="376"/>
      <c r="N294" s="376"/>
      <c r="O294" s="376"/>
      <c r="P294" s="376"/>
      <c r="Q294" s="376"/>
      <c r="R294" s="376"/>
      <c r="S294" s="376"/>
      <c r="T294" s="376"/>
      <c r="U294" s="377"/>
      <c r="V294" s="346"/>
      <c r="W294" s="345"/>
      <c r="X294" s="345"/>
      <c r="Y294" s="332" t="s">
        <v>70</v>
      </c>
    </row>
    <row r="295" spans="1:25" s="144" customFormat="1" ht="22.5" customHeight="1" thickTop="1" thickBot="1">
      <c r="A295" s="345" t="s">
        <v>67</v>
      </c>
      <c r="B295" s="346" t="s">
        <v>85</v>
      </c>
      <c r="C295" s="346" t="s">
        <v>93</v>
      </c>
      <c r="D295" s="346" t="s">
        <v>91</v>
      </c>
      <c r="E295" s="346"/>
      <c r="F295" s="346"/>
      <c r="G295" s="346"/>
      <c r="H295" s="347"/>
      <c r="I295" s="347"/>
      <c r="J295" s="348" t="s">
        <v>441</v>
      </c>
      <c r="K295" s="376"/>
      <c r="L295" s="376"/>
      <c r="M295" s="376"/>
      <c r="N295" s="376"/>
      <c r="O295" s="376"/>
      <c r="P295" s="376"/>
      <c r="Q295" s="376"/>
      <c r="R295" s="376"/>
      <c r="S295" s="376"/>
      <c r="T295" s="376"/>
      <c r="U295" s="377"/>
      <c r="V295" s="346"/>
      <c r="W295" s="345"/>
      <c r="X295" s="345"/>
      <c r="Y295" s="332" t="s">
        <v>70</v>
      </c>
    </row>
    <row r="296" spans="1:25" s="144" customFormat="1" ht="22.5" customHeight="1" thickTop="1" thickBot="1">
      <c r="A296" s="345">
        <v>1</v>
      </c>
      <c r="B296" s="346" t="s">
        <v>85</v>
      </c>
      <c r="C296" s="346" t="s">
        <v>93</v>
      </c>
      <c r="D296" s="346" t="s">
        <v>93</v>
      </c>
      <c r="E296" s="346"/>
      <c r="F296" s="346"/>
      <c r="G296" s="346"/>
      <c r="H296" s="347"/>
      <c r="I296" s="347"/>
      <c r="J296" s="348" t="s">
        <v>442</v>
      </c>
      <c r="K296" s="376"/>
      <c r="L296" s="376"/>
      <c r="M296" s="376"/>
      <c r="N296" s="376"/>
      <c r="O296" s="376"/>
      <c r="P296" s="376"/>
      <c r="Q296" s="376"/>
      <c r="R296" s="376"/>
      <c r="S296" s="376"/>
      <c r="T296" s="376"/>
      <c r="U296" s="377"/>
      <c r="V296" s="346"/>
      <c r="W296" s="345"/>
      <c r="X296" s="345"/>
      <c r="Y296" s="332"/>
    </row>
    <row r="297" spans="1:25" s="415" customFormat="1" ht="22.5" customHeight="1" thickTop="1" thickBot="1">
      <c r="A297" s="412" t="s">
        <v>67</v>
      </c>
      <c r="B297" s="406" t="s">
        <v>85</v>
      </c>
      <c r="C297" s="406" t="s">
        <v>95</v>
      </c>
      <c r="D297" s="406"/>
      <c r="E297" s="406"/>
      <c r="F297" s="406"/>
      <c r="G297" s="406"/>
      <c r="H297" s="405"/>
      <c r="I297" s="405"/>
      <c r="J297" s="407" t="s">
        <v>443</v>
      </c>
      <c r="K297" s="413"/>
      <c r="L297" s="413"/>
      <c r="M297" s="413"/>
      <c r="N297" s="413"/>
      <c r="O297" s="413"/>
      <c r="P297" s="413"/>
      <c r="Q297" s="413"/>
      <c r="R297" s="413"/>
      <c r="S297" s="413"/>
      <c r="T297" s="413"/>
      <c r="U297" s="414"/>
      <c r="V297" s="406"/>
      <c r="W297" s="406" t="s">
        <v>444</v>
      </c>
      <c r="X297" s="406"/>
      <c r="Y297" s="410" t="s">
        <v>70</v>
      </c>
    </row>
    <row r="298" spans="1:25" s="415" customFormat="1" ht="22.5" customHeight="1" thickTop="1" thickBot="1">
      <c r="A298" s="412"/>
      <c r="B298" s="406"/>
      <c r="C298" s="406"/>
      <c r="D298" s="406"/>
      <c r="E298" s="406"/>
      <c r="F298" s="406"/>
      <c r="G298" s="406"/>
      <c r="H298" s="405"/>
      <c r="I298" s="405"/>
      <c r="J298" s="407"/>
      <c r="K298" s="413"/>
      <c r="L298" s="413"/>
      <c r="M298" s="413"/>
      <c r="N298" s="413"/>
      <c r="O298" s="413"/>
      <c r="P298" s="413"/>
      <c r="Q298" s="413"/>
      <c r="R298" s="413"/>
      <c r="S298" s="413"/>
      <c r="T298" s="413"/>
      <c r="U298" s="414"/>
      <c r="V298" s="406"/>
      <c r="W298" s="406"/>
      <c r="X298" s="406"/>
      <c r="Y298" s="410"/>
    </row>
    <row r="299" spans="1:25" s="415" customFormat="1" ht="22.5" customHeight="1" thickTop="1" thickBot="1">
      <c r="A299" s="412"/>
      <c r="B299" s="406"/>
      <c r="C299" s="406"/>
      <c r="D299" s="406"/>
      <c r="E299" s="406"/>
      <c r="F299" s="406"/>
      <c r="G299" s="406"/>
      <c r="H299" s="405"/>
      <c r="I299" s="405"/>
      <c r="J299" s="407"/>
      <c r="K299" s="413"/>
      <c r="L299" s="413"/>
      <c r="M299" s="413"/>
      <c r="N299" s="413"/>
      <c r="O299" s="413"/>
      <c r="P299" s="413"/>
      <c r="Q299" s="413"/>
      <c r="R299" s="413"/>
      <c r="S299" s="413"/>
      <c r="T299" s="413"/>
      <c r="U299" s="414"/>
      <c r="V299" s="406"/>
      <c r="W299" s="412"/>
      <c r="X299" s="412"/>
      <c r="Y299" s="410"/>
    </row>
    <row r="300" spans="1:25" s="144" customFormat="1" ht="22.5" customHeight="1" thickTop="1" thickBot="1">
      <c r="A300" s="345" t="s">
        <v>67</v>
      </c>
      <c r="B300" s="346" t="s">
        <v>85</v>
      </c>
      <c r="C300" s="346" t="s">
        <v>95</v>
      </c>
      <c r="D300" s="346" t="s">
        <v>87</v>
      </c>
      <c r="E300" s="346"/>
      <c r="F300" s="346"/>
      <c r="G300" s="346"/>
      <c r="H300" s="347"/>
      <c r="I300" s="347"/>
      <c r="J300" s="348" t="s">
        <v>445</v>
      </c>
      <c r="K300" s="349"/>
      <c r="L300" s="349"/>
      <c r="M300" s="349"/>
      <c r="N300" s="349"/>
      <c r="O300" s="349"/>
      <c r="P300" s="349"/>
      <c r="Q300" s="349"/>
      <c r="R300" s="349"/>
      <c r="S300" s="349"/>
      <c r="T300" s="349"/>
      <c r="U300" s="350"/>
      <c r="V300" s="346"/>
      <c r="W300" s="346"/>
      <c r="X300" s="346"/>
      <c r="Y300" s="332" t="s">
        <v>70</v>
      </c>
    </row>
    <row r="301" spans="1:25" s="144" customFormat="1" ht="22.5" customHeight="1" thickTop="1" thickBot="1">
      <c r="A301" s="356" t="s">
        <v>67</v>
      </c>
      <c r="B301" s="351" t="s">
        <v>85</v>
      </c>
      <c r="C301" s="351" t="s">
        <v>95</v>
      </c>
      <c r="D301" s="351" t="s">
        <v>87</v>
      </c>
      <c r="E301" s="351" t="s">
        <v>71</v>
      </c>
      <c r="F301" s="351"/>
      <c r="G301" s="351"/>
      <c r="H301" s="352"/>
      <c r="I301" s="352"/>
      <c r="J301" s="353" t="s">
        <v>446</v>
      </c>
      <c r="K301" s="354"/>
      <c r="L301" s="354"/>
      <c r="M301" s="354"/>
      <c r="N301" s="354"/>
      <c r="O301" s="354"/>
      <c r="P301" s="354"/>
      <c r="Q301" s="354"/>
      <c r="R301" s="354"/>
      <c r="S301" s="354"/>
      <c r="T301" s="354"/>
      <c r="U301" s="355"/>
      <c r="V301" s="351"/>
      <c r="W301" s="356"/>
      <c r="X301" s="356"/>
      <c r="Y301" s="332" t="s">
        <v>70</v>
      </c>
    </row>
    <row r="302" spans="1:25" ht="22.5" customHeight="1" thickTop="1" thickBot="1">
      <c r="A302" s="360" t="s">
        <v>67</v>
      </c>
      <c r="B302" s="352" t="s">
        <v>85</v>
      </c>
      <c r="C302" s="352" t="s">
        <v>95</v>
      </c>
      <c r="D302" s="352" t="s">
        <v>87</v>
      </c>
      <c r="E302" s="352" t="s">
        <v>71</v>
      </c>
      <c r="F302" s="351" t="s">
        <v>71</v>
      </c>
      <c r="G302" s="352"/>
      <c r="H302" s="352"/>
      <c r="I302" s="352"/>
      <c r="J302" s="357" t="s">
        <v>447</v>
      </c>
      <c r="K302" s="358"/>
      <c r="L302" s="358"/>
      <c r="M302" s="358"/>
      <c r="N302" s="354"/>
      <c r="O302" s="358"/>
      <c r="P302" s="358"/>
      <c r="Q302" s="358"/>
      <c r="R302" s="358"/>
      <c r="S302" s="354"/>
      <c r="T302" s="358"/>
      <c r="U302" s="359"/>
      <c r="V302" s="352"/>
      <c r="W302" s="360"/>
      <c r="X302" s="360"/>
      <c r="Y302" s="332" t="s">
        <v>70</v>
      </c>
    </row>
    <row r="303" spans="1:25" s="144" customFormat="1" ht="22.5" customHeight="1" thickTop="1" thickBot="1">
      <c r="A303" s="356" t="s">
        <v>67</v>
      </c>
      <c r="B303" s="351" t="s">
        <v>85</v>
      </c>
      <c r="C303" s="351" t="s">
        <v>95</v>
      </c>
      <c r="D303" s="351" t="s">
        <v>87</v>
      </c>
      <c r="E303" s="351" t="s">
        <v>85</v>
      </c>
      <c r="F303" s="351"/>
      <c r="G303" s="351"/>
      <c r="H303" s="352"/>
      <c r="I303" s="352"/>
      <c r="J303" s="353" t="s">
        <v>448</v>
      </c>
      <c r="K303" s="354"/>
      <c r="L303" s="354"/>
      <c r="M303" s="354"/>
      <c r="N303" s="354"/>
      <c r="O303" s="354"/>
      <c r="P303" s="354"/>
      <c r="Q303" s="354"/>
      <c r="R303" s="354"/>
      <c r="S303" s="354"/>
      <c r="T303" s="354"/>
      <c r="U303" s="355"/>
      <c r="V303" s="351"/>
      <c r="W303" s="356"/>
      <c r="X303" s="356"/>
      <c r="Y303" s="332" t="s">
        <v>70</v>
      </c>
    </row>
    <row r="304" spans="1:25" s="144" customFormat="1" ht="22.5" customHeight="1" thickTop="1" thickBot="1">
      <c r="A304" s="356" t="s">
        <v>67</v>
      </c>
      <c r="B304" s="351" t="s">
        <v>85</v>
      </c>
      <c r="C304" s="351" t="s">
        <v>95</v>
      </c>
      <c r="D304" s="351" t="s">
        <v>87</v>
      </c>
      <c r="E304" s="351" t="s">
        <v>87</v>
      </c>
      <c r="F304" s="351"/>
      <c r="G304" s="351"/>
      <c r="H304" s="352"/>
      <c r="I304" s="352"/>
      <c r="J304" s="353" t="s">
        <v>449</v>
      </c>
      <c r="K304" s="354"/>
      <c r="L304" s="354"/>
      <c r="M304" s="354"/>
      <c r="N304" s="354"/>
      <c r="O304" s="354"/>
      <c r="P304" s="354"/>
      <c r="Q304" s="354"/>
      <c r="R304" s="354"/>
      <c r="S304" s="354"/>
      <c r="T304" s="354"/>
      <c r="U304" s="355"/>
      <c r="V304" s="351"/>
      <c r="W304" s="356"/>
      <c r="X304" s="356"/>
      <c r="Y304" s="332" t="s">
        <v>70</v>
      </c>
    </row>
    <row r="305" spans="1:25" ht="22.5" customHeight="1" thickTop="1" thickBot="1">
      <c r="A305" s="360" t="s">
        <v>67</v>
      </c>
      <c r="B305" s="352" t="s">
        <v>85</v>
      </c>
      <c r="C305" s="352" t="s">
        <v>95</v>
      </c>
      <c r="D305" s="352" t="s">
        <v>87</v>
      </c>
      <c r="E305" s="352" t="s">
        <v>87</v>
      </c>
      <c r="F305" s="351" t="s">
        <v>71</v>
      </c>
      <c r="G305" s="352"/>
      <c r="H305" s="352"/>
      <c r="I305" s="352"/>
      <c r="J305" s="357" t="s">
        <v>450</v>
      </c>
      <c r="K305" s="358"/>
      <c r="L305" s="358"/>
      <c r="M305" s="358"/>
      <c r="N305" s="354"/>
      <c r="O305" s="358"/>
      <c r="P305" s="358"/>
      <c r="Q305" s="358"/>
      <c r="R305" s="358"/>
      <c r="S305" s="354"/>
      <c r="T305" s="358"/>
      <c r="U305" s="359"/>
      <c r="V305" s="352"/>
      <c r="W305" s="360"/>
      <c r="X305" s="360"/>
      <c r="Y305" s="332" t="s">
        <v>70</v>
      </c>
    </row>
    <row r="306" spans="1:25" ht="22.5" customHeight="1" thickTop="1" thickBot="1">
      <c r="A306" s="360" t="s">
        <v>67</v>
      </c>
      <c r="B306" s="352" t="s">
        <v>85</v>
      </c>
      <c r="C306" s="352" t="s">
        <v>95</v>
      </c>
      <c r="D306" s="352" t="s">
        <v>87</v>
      </c>
      <c r="E306" s="352" t="s">
        <v>87</v>
      </c>
      <c r="F306" s="351" t="s">
        <v>85</v>
      </c>
      <c r="G306" s="352"/>
      <c r="H306" s="352"/>
      <c r="I306" s="352"/>
      <c r="J306" s="357" t="s">
        <v>451</v>
      </c>
      <c r="K306" s="358"/>
      <c r="L306" s="358"/>
      <c r="M306" s="358"/>
      <c r="N306" s="354"/>
      <c r="O306" s="358"/>
      <c r="P306" s="358"/>
      <c r="Q306" s="358"/>
      <c r="R306" s="358"/>
      <c r="S306" s="354"/>
      <c r="T306" s="358"/>
      <c r="U306" s="359"/>
      <c r="V306" s="352"/>
      <c r="W306" s="360"/>
      <c r="X306" s="360"/>
      <c r="Y306" s="332" t="s">
        <v>70</v>
      </c>
    </row>
    <row r="307" spans="1:25" ht="22.5" customHeight="1" thickTop="1" thickBot="1">
      <c r="A307" s="360" t="s">
        <v>67</v>
      </c>
      <c r="B307" s="352" t="s">
        <v>85</v>
      </c>
      <c r="C307" s="352" t="s">
        <v>95</v>
      </c>
      <c r="D307" s="352" t="s">
        <v>87</v>
      </c>
      <c r="E307" s="352" t="s">
        <v>87</v>
      </c>
      <c r="F307" s="351" t="s">
        <v>87</v>
      </c>
      <c r="G307" s="352"/>
      <c r="H307" s="352"/>
      <c r="I307" s="352"/>
      <c r="J307" s="357" t="s">
        <v>452</v>
      </c>
      <c r="K307" s="358"/>
      <c r="L307" s="358"/>
      <c r="M307" s="358"/>
      <c r="N307" s="354"/>
      <c r="O307" s="358"/>
      <c r="P307" s="358"/>
      <c r="Q307" s="358"/>
      <c r="R307" s="358"/>
      <c r="S307" s="354"/>
      <c r="T307" s="358"/>
      <c r="U307" s="359"/>
      <c r="V307" s="352"/>
      <c r="W307" s="360"/>
      <c r="X307" s="360"/>
      <c r="Y307" s="332" t="s">
        <v>70</v>
      </c>
    </row>
    <row r="308" spans="1:25" ht="22.5" customHeight="1" thickTop="1" thickBot="1">
      <c r="A308" s="360" t="s">
        <v>67</v>
      </c>
      <c r="B308" s="352" t="s">
        <v>85</v>
      </c>
      <c r="C308" s="352" t="s">
        <v>95</v>
      </c>
      <c r="D308" s="352" t="s">
        <v>87</v>
      </c>
      <c r="E308" s="352" t="s">
        <v>87</v>
      </c>
      <c r="F308" s="351" t="s">
        <v>89</v>
      </c>
      <c r="G308" s="352"/>
      <c r="H308" s="352"/>
      <c r="I308" s="352"/>
      <c r="J308" s="357" t="s">
        <v>453</v>
      </c>
      <c r="K308" s="358"/>
      <c r="L308" s="358"/>
      <c r="M308" s="358"/>
      <c r="N308" s="354"/>
      <c r="O308" s="358"/>
      <c r="P308" s="358"/>
      <c r="Q308" s="358"/>
      <c r="R308" s="358"/>
      <c r="S308" s="354"/>
      <c r="T308" s="358"/>
      <c r="U308" s="359"/>
      <c r="V308" s="352"/>
      <c r="W308" s="360"/>
      <c r="X308" s="360"/>
      <c r="Y308" s="332" t="s">
        <v>70</v>
      </c>
    </row>
    <row r="309" spans="1:25" ht="22.5" customHeight="1" thickTop="1" thickBot="1">
      <c r="A309" s="360" t="s">
        <v>67</v>
      </c>
      <c r="B309" s="352" t="s">
        <v>85</v>
      </c>
      <c r="C309" s="352" t="s">
        <v>95</v>
      </c>
      <c r="D309" s="352" t="s">
        <v>87</v>
      </c>
      <c r="E309" s="352" t="s">
        <v>87</v>
      </c>
      <c r="F309" s="351" t="s">
        <v>91</v>
      </c>
      <c r="G309" s="352"/>
      <c r="H309" s="352"/>
      <c r="I309" s="352"/>
      <c r="J309" s="357" t="s">
        <v>454</v>
      </c>
      <c r="K309" s="358"/>
      <c r="L309" s="358"/>
      <c r="M309" s="358"/>
      <c r="N309" s="354"/>
      <c r="O309" s="358"/>
      <c r="P309" s="358"/>
      <c r="Q309" s="358"/>
      <c r="R309" s="358"/>
      <c r="S309" s="354"/>
      <c r="T309" s="358"/>
      <c r="U309" s="359"/>
      <c r="V309" s="352"/>
      <c r="W309" s="360"/>
      <c r="X309" s="360"/>
      <c r="Y309" s="332" t="s">
        <v>70</v>
      </c>
    </row>
    <row r="310" spans="1:25" s="144" customFormat="1" ht="22.5" customHeight="1" thickTop="1" thickBot="1">
      <c r="A310" s="356" t="s">
        <v>67</v>
      </c>
      <c r="B310" s="351" t="s">
        <v>85</v>
      </c>
      <c r="C310" s="351" t="s">
        <v>95</v>
      </c>
      <c r="D310" s="351" t="s">
        <v>87</v>
      </c>
      <c r="E310" s="351" t="s">
        <v>89</v>
      </c>
      <c r="F310" s="351"/>
      <c r="G310" s="351"/>
      <c r="H310" s="352"/>
      <c r="I310" s="352"/>
      <c r="J310" s="353" t="s">
        <v>455</v>
      </c>
      <c r="K310" s="354"/>
      <c r="L310" s="354"/>
      <c r="M310" s="354"/>
      <c r="N310" s="354"/>
      <c r="O310" s="354"/>
      <c r="P310" s="354"/>
      <c r="Q310" s="354"/>
      <c r="R310" s="354"/>
      <c r="S310" s="354"/>
      <c r="T310" s="354"/>
      <c r="U310" s="355"/>
      <c r="V310" s="351"/>
      <c r="W310" s="356"/>
      <c r="X310" s="356"/>
      <c r="Y310" s="332" t="s">
        <v>70</v>
      </c>
    </row>
    <row r="311" spans="1:25" s="144" customFormat="1" ht="22.5" customHeight="1" thickTop="1" thickBot="1">
      <c r="A311" s="356" t="s">
        <v>67</v>
      </c>
      <c r="B311" s="351" t="s">
        <v>85</v>
      </c>
      <c r="C311" s="351" t="s">
        <v>95</v>
      </c>
      <c r="D311" s="351" t="s">
        <v>87</v>
      </c>
      <c r="E311" s="351" t="s">
        <v>91</v>
      </c>
      <c r="F311" s="351"/>
      <c r="G311" s="351"/>
      <c r="H311" s="352"/>
      <c r="I311" s="352"/>
      <c r="J311" s="353" t="s">
        <v>456</v>
      </c>
      <c r="K311" s="354"/>
      <c r="L311" s="354"/>
      <c r="M311" s="354"/>
      <c r="N311" s="354"/>
      <c r="O311" s="354"/>
      <c r="P311" s="354"/>
      <c r="Q311" s="354"/>
      <c r="R311" s="354"/>
      <c r="S311" s="354"/>
      <c r="T311" s="354"/>
      <c r="U311" s="355"/>
      <c r="V311" s="351"/>
      <c r="W311" s="356"/>
      <c r="X311" s="356"/>
      <c r="Y311" s="332" t="s">
        <v>70</v>
      </c>
    </row>
    <row r="312" spans="1:25" ht="22.5" customHeight="1" thickTop="1" thickBot="1">
      <c r="A312" s="356" t="s">
        <v>67</v>
      </c>
      <c r="B312" s="351" t="s">
        <v>85</v>
      </c>
      <c r="C312" s="351" t="s">
        <v>95</v>
      </c>
      <c r="D312" s="351" t="s">
        <v>87</v>
      </c>
      <c r="E312" s="351" t="s">
        <v>93</v>
      </c>
      <c r="F312" s="352"/>
      <c r="G312" s="352"/>
      <c r="H312" s="352"/>
      <c r="I312" s="352"/>
      <c r="J312" s="353" t="s">
        <v>457</v>
      </c>
      <c r="K312" s="354"/>
      <c r="L312" s="354"/>
      <c r="M312" s="354"/>
      <c r="N312" s="354"/>
      <c r="O312" s="354"/>
      <c r="P312" s="354"/>
      <c r="Q312" s="354"/>
      <c r="R312" s="354"/>
      <c r="S312" s="354"/>
      <c r="T312" s="354"/>
      <c r="U312" s="355"/>
      <c r="V312" s="351"/>
      <c r="W312" s="356"/>
      <c r="X312" s="356"/>
    </row>
    <row r="313" spans="1:25" ht="22.5" customHeight="1" thickTop="1" thickBot="1">
      <c r="A313" s="356" t="s">
        <v>67</v>
      </c>
      <c r="B313" s="351" t="s">
        <v>85</v>
      </c>
      <c r="C313" s="351" t="s">
        <v>95</v>
      </c>
      <c r="D313" s="351" t="s">
        <v>87</v>
      </c>
      <c r="E313" s="351" t="s">
        <v>95</v>
      </c>
      <c r="F313" s="352"/>
      <c r="G313" s="352"/>
      <c r="H313" s="352"/>
      <c r="I313" s="352"/>
      <c r="J313" s="353" t="s">
        <v>458</v>
      </c>
      <c r="K313" s="354"/>
      <c r="L313" s="354"/>
      <c r="M313" s="354"/>
      <c r="N313" s="354"/>
      <c r="O313" s="354"/>
      <c r="P313" s="354"/>
      <c r="Q313" s="354"/>
      <c r="R313" s="354"/>
      <c r="S313" s="354"/>
      <c r="T313" s="354"/>
      <c r="U313" s="355"/>
      <c r="V313" s="351"/>
      <c r="W313" s="356"/>
      <c r="X313" s="356"/>
    </row>
    <row r="314" spans="1:25" ht="22.5" customHeight="1" thickTop="1" thickBot="1">
      <c r="A314" s="356" t="s">
        <v>67</v>
      </c>
      <c r="B314" s="351" t="s">
        <v>85</v>
      </c>
      <c r="C314" s="351" t="s">
        <v>95</v>
      </c>
      <c r="D314" s="351" t="s">
        <v>87</v>
      </c>
      <c r="E314" s="351" t="s">
        <v>97</v>
      </c>
      <c r="F314" s="352"/>
      <c r="G314" s="352"/>
      <c r="H314" s="352"/>
      <c r="I314" s="352"/>
      <c r="J314" s="353" t="s">
        <v>459</v>
      </c>
      <c r="K314" s="354"/>
      <c r="L314" s="354"/>
      <c r="M314" s="354"/>
      <c r="N314" s="354"/>
      <c r="O314" s="354"/>
      <c r="P314" s="354"/>
      <c r="Q314" s="354"/>
      <c r="R314" s="354"/>
      <c r="S314" s="354"/>
      <c r="T314" s="354"/>
      <c r="U314" s="355"/>
      <c r="V314" s="351"/>
      <c r="W314" s="356"/>
      <c r="X314" s="356"/>
    </row>
    <row r="315" spans="1:25" ht="22.5" customHeight="1" thickTop="1" thickBot="1">
      <c r="A315" s="360" t="s">
        <v>67</v>
      </c>
      <c r="B315" s="352" t="s">
        <v>85</v>
      </c>
      <c r="C315" s="352" t="s">
        <v>95</v>
      </c>
      <c r="D315" s="352" t="s">
        <v>87</v>
      </c>
      <c r="E315" s="352" t="s">
        <v>97</v>
      </c>
      <c r="F315" s="351" t="s">
        <v>71</v>
      </c>
      <c r="G315" s="352"/>
      <c r="H315" s="352"/>
      <c r="I315" s="352"/>
      <c r="J315" s="353" t="s">
        <v>460</v>
      </c>
      <c r="K315" s="354"/>
      <c r="L315" s="354"/>
      <c r="M315" s="354"/>
      <c r="N315" s="354"/>
      <c r="O315" s="354"/>
      <c r="P315" s="354"/>
      <c r="Q315" s="354"/>
      <c r="R315" s="354"/>
      <c r="S315" s="354"/>
      <c r="T315" s="354"/>
      <c r="U315" s="355"/>
      <c r="V315" s="351"/>
      <c r="W315" s="356"/>
      <c r="X315" s="356"/>
    </row>
    <row r="316" spans="1:25" ht="22.5" customHeight="1" thickTop="1" thickBot="1">
      <c r="A316" s="360" t="s">
        <v>67</v>
      </c>
      <c r="B316" s="352" t="s">
        <v>85</v>
      </c>
      <c r="C316" s="352" t="s">
        <v>95</v>
      </c>
      <c r="D316" s="352" t="s">
        <v>87</v>
      </c>
      <c r="E316" s="352" t="s">
        <v>97</v>
      </c>
      <c r="F316" s="352" t="s">
        <v>71</v>
      </c>
      <c r="G316" s="351" t="s">
        <v>71</v>
      </c>
      <c r="H316" s="352"/>
      <c r="I316" s="352"/>
      <c r="J316" s="357" t="s">
        <v>461</v>
      </c>
      <c r="K316" s="354"/>
      <c r="L316" s="354"/>
      <c r="M316" s="354"/>
      <c r="N316" s="354"/>
      <c r="O316" s="354"/>
      <c r="P316" s="354"/>
      <c r="Q316" s="354"/>
      <c r="R316" s="354"/>
      <c r="S316" s="354"/>
      <c r="T316" s="354"/>
      <c r="U316" s="355"/>
      <c r="V316" s="351"/>
      <c r="W316" s="356"/>
      <c r="X316" s="356"/>
    </row>
    <row r="317" spans="1:25" ht="22.5" customHeight="1" thickTop="1" thickBot="1">
      <c r="A317" s="360" t="s">
        <v>67</v>
      </c>
      <c r="B317" s="352" t="s">
        <v>85</v>
      </c>
      <c r="C317" s="352" t="s">
        <v>95</v>
      </c>
      <c r="D317" s="352" t="s">
        <v>87</v>
      </c>
      <c r="E317" s="352" t="s">
        <v>97</v>
      </c>
      <c r="F317" s="352" t="s">
        <v>71</v>
      </c>
      <c r="G317" s="351" t="s">
        <v>85</v>
      </c>
      <c r="H317" s="352"/>
      <c r="I317" s="352"/>
      <c r="J317" s="357" t="s">
        <v>462</v>
      </c>
      <c r="K317" s="354"/>
      <c r="L317" s="354"/>
      <c r="M317" s="354"/>
      <c r="N317" s="354"/>
      <c r="O317" s="354"/>
      <c r="P317" s="354"/>
      <c r="Q317" s="354"/>
      <c r="R317" s="354"/>
      <c r="S317" s="354"/>
      <c r="T317" s="354"/>
      <c r="U317" s="355"/>
      <c r="V317" s="351"/>
      <c r="W317" s="356"/>
      <c r="X317" s="356"/>
    </row>
    <row r="318" spans="1:25" ht="22.5" customHeight="1" thickTop="1" thickBot="1">
      <c r="A318" s="360" t="s">
        <v>67</v>
      </c>
      <c r="B318" s="352" t="s">
        <v>85</v>
      </c>
      <c r="C318" s="352" t="s">
        <v>95</v>
      </c>
      <c r="D318" s="352" t="s">
        <v>87</v>
      </c>
      <c r="E318" s="352" t="s">
        <v>97</v>
      </c>
      <c r="F318" s="352" t="s">
        <v>71</v>
      </c>
      <c r="G318" s="351" t="s">
        <v>87</v>
      </c>
      <c r="H318" s="352"/>
      <c r="I318" s="352"/>
      <c r="J318" s="357" t="s">
        <v>463</v>
      </c>
      <c r="K318" s="354"/>
      <c r="L318" s="354"/>
      <c r="M318" s="354"/>
      <c r="N318" s="354"/>
      <c r="O318" s="354"/>
      <c r="P318" s="354"/>
      <c r="Q318" s="354"/>
      <c r="R318" s="354"/>
      <c r="S318" s="354"/>
      <c r="T318" s="354"/>
      <c r="U318" s="355"/>
      <c r="V318" s="351"/>
      <c r="W318" s="356"/>
      <c r="X318" s="356"/>
    </row>
    <row r="319" spans="1:25" ht="22.5" customHeight="1" thickTop="1" thickBot="1">
      <c r="A319" s="356" t="s">
        <v>67</v>
      </c>
      <c r="B319" s="351" t="s">
        <v>85</v>
      </c>
      <c r="C319" s="351" t="s">
        <v>95</v>
      </c>
      <c r="D319" s="351" t="s">
        <v>87</v>
      </c>
      <c r="E319" s="351" t="s">
        <v>400</v>
      </c>
      <c r="F319" s="352"/>
      <c r="G319" s="352"/>
      <c r="H319" s="352"/>
      <c r="I319" s="352"/>
      <c r="J319" s="353" t="s">
        <v>464</v>
      </c>
      <c r="K319" s="354"/>
      <c r="L319" s="354"/>
      <c r="M319" s="354"/>
      <c r="N319" s="354"/>
      <c r="O319" s="354"/>
      <c r="P319" s="354"/>
      <c r="Q319" s="354"/>
      <c r="R319" s="354"/>
      <c r="S319" s="354"/>
      <c r="T319" s="354"/>
      <c r="U319" s="355"/>
      <c r="V319" s="351"/>
      <c r="W319" s="356"/>
      <c r="X319" s="356"/>
    </row>
    <row r="320" spans="1:25" ht="22.5" customHeight="1" thickTop="1" thickBot="1">
      <c r="A320" s="360" t="s">
        <v>67</v>
      </c>
      <c r="B320" s="352" t="s">
        <v>85</v>
      </c>
      <c r="C320" s="352" t="s">
        <v>95</v>
      </c>
      <c r="D320" s="352" t="s">
        <v>87</v>
      </c>
      <c r="E320" s="352" t="s">
        <v>400</v>
      </c>
      <c r="F320" s="351" t="s">
        <v>71</v>
      </c>
      <c r="G320" s="352"/>
      <c r="H320" s="352"/>
      <c r="I320" s="352"/>
      <c r="J320" s="357" t="s">
        <v>465</v>
      </c>
      <c r="K320" s="354"/>
      <c r="L320" s="354"/>
      <c r="M320" s="354"/>
      <c r="N320" s="354"/>
      <c r="O320" s="354"/>
      <c r="P320" s="354"/>
      <c r="Q320" s="354"/>
      <c r="R320" s="354"/>
      <c r="S320" s="354"/>
      <c r="T320" s="354"/>
      <c r="U320" s="355"/>
      <c r="V320" s="351"/>
      <c r="W320" s="356"/>
      <c r="X320" s="356"/>
    </row>
    <row r="321" spans="1:22" ht="36" customHeight="1" thickTop="1" thickBot="1"/>
    <row r="322" spans="1:22" ht="18.75" customHeight="1" thickTop="1" thickBot="1">
      <c r="A322" s="360">
        <v>1</v>
      </c>
      <c r="B322" s="351" t="s">
        <v>85</v>
      </c>
      <c r="C322" s="352"/>
      <c r="D322" s="352"/>
      <c r="E322" s="360"/>
      <c r="F322" s="352"/>
      <c r="G322" s="352"/>
      <c r="H322" s="352"/>
      <c r="I322" s="352"/>
      <c r="J322" s="353" t="s">
        <v>466</v>
      </c>
      <c r="K322" s="354"/>
      <c r="L322" s="354"/>
      <c r="M322" s="354"/>
      <c r="N322" s="354"/>
      <c r="O322" s="354"/>
      <c r="P322" s="354"/>
      <c r="Q322" s="354"/>
      <c r="R322" s="354"/>
      <c r="S322" s="354"/>
      <c r="T322" s="354"/>
      <c r="U322" s="354"/>
      <c r="V322" s="354"/>
    </row>
    <row r="323" spans="1:22" ht="18.75" customHeight="1" thickTop="1" thickBot="1">
      <c r="A323" s="360">
        <v>1</v>
      </c>
      <c r="B323" s="351" t="s">
        <v>85</v>
      </c>
      <c r="C323" s="352" t="s">
        <v>71</v>
      </c>
      <c r="D323" s="352"/>
      <c r="E323" s="360"/>
      <c r="F323" s="352"/>
      <c r="G323" s="352"/>
      <c r="H323" s="352"/>
      <c r="I323" s="352"/>
      <c r="J323" s="353" t="s">
        <v>467</v>
      </c>
      <c r="K323" s="354"/>
      <c r="L323" s="354"/>
      <c r="M323" s="354"/>
      <c r="N323" s="354"/>
      <c r="O323" s="354"/>
      <c r="P323" s="354"/>
      <c r="Q323" s="354"/>
      <c r="R323" s="354"/>
      <c r="S323" s="354"/>
      <c r="T323" s="354"/>
      <c r="U323" s="354"/>
      <c r="V323" s="354"/>
    </row>
    <row r="324" spans="1:22" ht="18.75" customHeight="1" thickTop="1" thickBot="1">
      <c r="A324" s="360">
        <v>1</v>
      </c>
      <c r="B324" s="351" t="s">
        <v>85</v>
      </c>
      <c r="C324" s="352" t="s">
        <v>71</v>
      </c>
      <c r="D324" s="352" t="s">
        <v>71</v>
      </c>
      <c r="E324" s="352"/>
      <c r="F324" s="352"/>
      <c r="G324" s="352"/>
      <c r="H324" s="352"/>
      <c r="I324" s="352"/>
      <c r="J324" s="357" t="s">
        <v>468</v>
      </c>
      <c r="K324" s="354"/>
      <c r="L324" s="354"/>
      <c r="M324" s="354"/>
      <c r="N324" s="354"/>
      <c r="O324" s="354"/>
      <c r="P324" s="354"/>
      <c r="Q324" s="354"/>
      <c r="R324" s="354"/>
      <c r="S324" s="354"/>
      <c r="T324" s="354"/>
      <c r="U324" s="354"/>
      <c r="V324" s="354"/>
    </row>
    <row r="325" spans="1:22" ht="18.75" customHeight="1" thickTop="1" thickBot="1">
      <c r="A325" s="360">
        <v>1</v>
      </c>
      <c r="B325" s="351" t="s">
        <v>85</v>
      </c>
      <c r="C325" s="352" t="s">
        <v>71</v>
      </c>
      <c r="D325" s="352" t="s">
        <v>85</v>
      </c>
      <c r="E325" s="352"/>
      <c r="F325" s="352"/>
      <c r="G325" s="352"/>
      <c r="H325" s="352"/>
      <c r="I325" s="352"/>
      <c r="J325" s="357" t="s">
        <v>469</v>
      </c>
      <c r="K325" s="354"/>
      <c r="L325" s="354"/>
      <c r="M325" s="354"/>
      <c r="N325" s="354"/>
      <c r="O325" s="354"/>
      <c r="P325" s="354"/>
      <c r="Q325" s="354"/>
      <c r="R325" s="354"/>
      <c r="S325" s="354"/>
      <c r="T325" s="354"/>
      <c r="U325" s="354"/>
      <c r="V325" s="354"/>
    </row>
    <row r="326" spans="1:22" ht="18.75" customHeight="1" thickTop="1" thickBot="1">
      <c r="A326" s="360">
        <v>1</v>
      </c>
      <c r="B326" s="351" t="s">
        <v>85</v>
      </c>
      <c r="C326" s="352" t="s">
        <v>71</v>
      </c>
      <c r="D326" s="352" t="s">
        <v>87</v>
      </c>
      <c r="E326" s="352"/>
      <c r="F326" s="352"/>
      <c r="G326" s="352"/>
      <c r="H326" s="352"/>
      <c r="I326" s="352"/>
      <c r="J326" s="357" t="s">
        <v>470</v>
      </c>
      <c r="K326" s="354"/>
      <c r="L326" s="354"/>
      <c r="M326" s="354"/>
      <c r="N326" s="354"/>
      <c r="O326" s="354"/>
      <c r="P326" s="354"/>
      <c r="Q326" s="354"/>
      <c r="R326" s="354"/>
      <c r="S326" s="354"/>
      <c r="T326" s="354"/>
      <c r="U326" s="354"/>
      <c r="V326" s="354"/>
    </row>
    <row r="327" spans="1:22" ht="18.75" customHeight="1" thickTop="1" thickBot="1">
      <c r="A327" s="360">
        <v>1</v>
      </c>
      <c r="B327" s="351" t="s">
        <v>85</v>
      </c>
      <c r="C327" s="352" t="s">
        <v>85</v>
      </c>
      <c r="D327" s="352"/>
      <c r="E327" s="360"/>
      <c r="F327" s="352"/>
      <c r="G327" s="352"/>
      <c r="H327" s="352"/>
      <c r="I327" s="352"/>
      <c r="J327" s="353" t="s">
        <v>471</v>
      </c>
      <c r="K327" s="354"/>
      <c r="L327" s="354"/>
      <c r="M327" s="354"/>
      <c r="N327" s="354"/>
      <c r="O327" s="354"/>
      <c r="P327" s="354"/>
      <c r="Q327" s="354"/>
      <c r="R327" s="354"/>
      <c r="S327" s="354"/>
      <c r="T327" s="354"/>
      <c r="U327" s="354"/>
      <c r="V327" s="354"/>
    </row>
    <row r="328" spans="1:22" ht="18.75" customHeight="1" thickTop="1" thickBot="1">
      <c r="A328" s="360">
        <v>1</v>
      </c>
      <c r="B328" s="351" t="s">
        <v>87</v>
      </c>
      <c r="C328" s="352"/>
      <c r="D328" s="352"/>
      <c r="E328" s="360"/>
      <c r="F328" s="352"/>
      <c r="G328" s="352"/>
      <c r="H328" s="352"/>
      <c r="I328" s="352"/>
      <c r="J328" s="353" t="s">
        <v>472</v>
      </c>
      <c r="K328" s="354"/>
      <c r="L328" s="354"/>
      <c r="M328" s="354"/>
      <c r="N328" s="354"/>
      <c r="O328" s="354"/>
      <c r="P328" s="354"/>
      <c r="Q328" s="354"/>
      <c r="R328" s="354"/>
      <c r="S328" s="354"/>
      <c r="T328" s="354"/>
      <c r="U328" s="354"/>
      <c r="V328" s="354"/>
    </row>
    <row r="329" spans="1:22" ht="18.75" customHeight="1" thickTop="1" thickBot="1">
      <c r="A329" s="360">
        <v>1</v>
      </c>
      <c r="B329" s="351" t="s">
        <v>87</v>
      </c>
      <c r="C329" s="352" t="s">
        <v>71</v>
      </c>
      <c r="D329" s="352"/>
      <c r="E329" s="360"/>
      <c r="F329" s="352"/>
      <c r="G329" s="352"/>
      <c r="H329" s="352"/>
      <c r="I329" s="352"/>
      <c r="J329" s="353" t="s">
        <v>473</v>
      </c>
      <c r="K329" s="354"/>
      <c r="L329" s="354"/>
      <c r="M329" s="354"/>
      <c r="N329" s="354"/>
      <c r="O329" s="354"/>
      <c r="P329" s="354"/>
      <c r="Q329" s="354"/>
      <c r="R329" s="354"/>
      <c r="S329" s="354"/>
      <c r="T329" s="354"/>
      <c r="U329" s="354"/>
      <c r="V329" s="354"/>
    </row>
    <row r="330" spans="1:22" ht="18.75" customHeight="1" thickTop="1" thickBot="1">
      <c r="A330" s="360">
        <v>1</v>
      </c>
      <c r="B330" s="351" t="s">
        <v>87</v>
      </c>
      <c r="C330" s="352" t="s">
        <v>71</v>
      </c>
      <c r="D330" s="352" t="s">
        <v>71</v>
      </c>
      <c r="E330" s="352"/>
      <c r="F330" s="352"/>
      <c r="G330" s="352"/>
      <c r="H330" s="352"/>
      <c r="I330" s="352"/>
      <c r="J330" s="357" t="s">
        <v>474</v>
      </c>
      <c r="K330" s="354"/>
      <c r="L330" s="354"/>
      <c r="M330" s="354"/>
      <c r="N330" s="354"/>
      <c r="O330" s="354"/>
      <c r="P330" s="354"/>
      <c r="Q330" s="354"/>
      <c r="R330" s="354"/>
      <c r="S330" s="354"/>
      <c r="T330" s="354"/>
      <c r="U330" s="354"/>
      <c r="V330" s="354"/>
    </row>
    <row r="331" spans="1:22" ht="18.75" customHeight="1" thickTop="1" thickBot="1">
      <c r="A331" s="360">
        <v>1</v>
      </c>
      <c r="B331" s="351" t="s">
        <v>87</v>
      </c>
      <c r="C331" s="352" t="s">
        <v>71</v>
      </c>
      <c r="D331" s="352" t="s">
        <v>85</v>
      </c>
      <c r="E331" s="352"/>
      <c r="F331" s="352"/>
      <c r="G331" s="352"/>
      <c r="H331" s="352"/>
      <c r="I331" s="352"/>
      <c r="J331" s="357" t="s">
        <v>475</v>
      </c>
      <c r="K331" s="354"/>
      <c r="L331" s="354"/>
      <c r="M331" s="354"/>
      <c r="N331" s="354"/>
      <c r="O331" s="354"/>
      <c r="P331" s="354"/>
      <c r="Q331" s="354"/>
      <c r="R331" s="354"/>
      <c r="S331" s="354"/>
      <c r="T331" s="354"/>
      <c r="U331" s="354"/>
      <c r="V331" s="354"/>
    </row>
    <row r="332" spans="1:22" ht="18.75" customHeight="1" thickTop="1" thickBot="1">
      <c r="A332" s="360">
        <v>1</v>
      </c>
      <c r="B332" s="351" t="s">
        <v>87</v>
      </c>
      <c r="C332" s="352" t="s">
        <v>71</v>
      </c>
      <c r="D332" s="352" t="s">
        <v>87</v>
      </c>
      <c r="E332" s="352"/>
      <c r="F332" s="352"/>
      <c r="G332" s="352"/>
      <c r="H332" s="352"/>
      <c r="I332" s="352"/>
      <c r="J332" s="357" t="s">
        <v>476</v>
      </c>
      <c r="K332" s="354"/>
      <c r="L332" s="354"/>
      <c r="M332" s="354"/>
      <c r="N332" s="354"/>
      <c r="O332" s="354"/>
      <c r="P332" s="354"/>
      <c r="Q332" s="354"/>
      <c r="R332" s="354"/>
      <c r="S332" s="354"/>
      <c r="T332" s="354"/>
      <c r="U332" s="354"/>
      <c r="V332" s="354"/>
    </row>
    <row r="333" spans="1:22" ht="18.75" customHeight="1" thickTop="1" thickBot="1">
      <c r="A333" s="360">
        <v>1</v>
      </c>
      <c r="B333" s="351" t="s">
        <v>87</v>
      </c>
      <c r="C333" s="352" t="s">
        <v>85</v>
      </c>
      <c r="D333" s="352"/>
      <c r="E333" s="360"/>
      <c r="F333" s="352"/>
      <c r="G333" s="352"/>
      <c r="H333" s="352"/>
      <c r="I333" s="352"/>
      <c r="J333" s="353" t="s">
        <v>477</v>
      </c>
      <c r="K333" s="354"/>
      <c r="L333" s="354"/>
      <c r="M333" s="354"/>
      <c r="N333" s="354"/>
      <c r="O333" s="354"/>
      <c r="P333" s="354"/>
      <c r="Q333" s="354"/>
      <c r="R333" s="354"/>
      <c r="S333" s="354"/>
      <c r="T333" s="354"/>
      <c r="U333" s="354"/>
      <c r="V333" s="354"/>
    </row>
    <row r="334" spans="1:22" ht="18.75" customHeight="1" thickTop="1" thickBot="1">
      <c r="A334" s="360">
        <v>1</v>
      </c>
      <c r="B334" s="351" t="s">
        <v>89</v>
      </c>
      <c r="C334" s="352"/>
      <c r="D334" s="352"/>
      <c r="E334" s="360"/>
      <c r="F334" s="352"/>
      <c r="G334" s="352"/>
      <c r="H334" s="352"/>
      <c r="I334" s="352"/>
      <c r="J334" s="353" t="s">
        <v>478</v>
      </c>
      <c r="K334" s="354"/>
      <c r="L334" s="354"/>
      <c r="M334" s="354"/>
      <c r="N334" s="354"/>
      <c r="O334" s="354"/>
      <c r="P334" s="354"/>
      <c r="Q334" s="354"/>
      <c r="R334" s="354"/>
      <c r="S334" s="354"/>
      <c r="T334" s="354"/>
      <c r="U334" s="354"/>
      <c r="V334" s="354"/>
    </row>
    <row r="335" spans="1:22" ht="18.75" customHeight="1" thickTop="1" thickBot="1">
      <c r="A335" s="360" t="s">
        <v>67</v>
      </c>
      <c r="B335" s="351" t="s">
        <v>91</v>
      </c>
      <c r="C335" s="352"/>
      <c r="D335" s="352"/>
      <c r="E335" s="360"/>
      <c r="F335" s="352"/>
      <c r="G335" s="352"/>
      <c r="H335" s="352"/>
      <c r="I335" s="352"/>
      <c r="J335" s="416" t="s">
        <v>479</v>
      </c>
      <c r="K335" s="354"/>
      <c r="L335" s="354"/>
      <c r="M335" s="354"/>
      <c r="N335" s="354"/>
      <c r="O335" s="354"/>
      <c r="P335" s="354"/>
      <c r="Q335" s="354"/>
      <c r="R335" s="354"/>
      <c r="S335" s="354"/>
      <c r="T335" s="354"/>
      <c r="U335" s="354"/>
      <c r="V335" s="354"/>
    </row>
    <row r="336" spans="1:22" ht="18.75" customHeight="1" thickTop="1" thickBot="1">
      <c r="A336" s="360" t="s">
        <v>67</v>
      </c>
      <c r="B336" s="351" t="s">
        <v>91</v>
      </c>
      <c r="C336" s="352" t="s">
        <v>71</v>
      </c>
      <c r="D336" s="352"/>
      <c r="E336" s="360"/>
      <c r="F336" s="352"/>
      <c r="G336" s="352"/>
      <c r="H336" s="352"/>
      <c r="I336" s="352"/>
      <c r="J336" s="416" t="s">
        <v>480</v>
      </c>
      <c r="K336" s="354"/>
      <c r="L336" s="354"/>
      <c r="M336" s="354"/>
      <c r="N336" s="354"/>
      <c r="O336" s="354"/>
      <c r="P336" s="354"/>
      <c r="Q336" s="354"/>
      <c r="R336" s="354"/>
      <c r="S336" s="354"/>
      <c r="T336" s="354"/>
      <c r="U336" s="354"/>
      <c r="V336" s="354"/>
    </row>
    <row r="337" spans="1:22" ht="18.75" customHeight="1" thickTop="1" thickBot="1">
      <c r="A337" s="360" t="s">
        <v>67</v>
      </c>
      <c r="B337" s="351" t="s">
        <v>91</v>
      </c>
      <c r="C337" s="352" t="s">
        <v>71</v>
      </c>
      <c r="D337" s="352" t="s">
        <v>71</v>
      </c>
      <c r="E337" s="352"/>
      <c r="F337" s="352"/>
      <c r="G337" s="352"/>
      <c r="H337" s="352"/>
      <c r="I337" s="352"/>
      <c r="J337" s="357" t="s">
        <v>481</v>
      </c>
      <c r="K337" s="354"/>
      <c r="L337" s="354"/>
      <c r="M337" s="354"/>
      <c r="N337" s="354"/>
      <c r="O337" s="354"/>
      <c r="P337" s="354"/>
      <c r="Q337" s="354"/>
      <c r="R337" s="354"/>
      <c r="S337" s="354"/>
      <c r="T337" s="354"/>
      <c r="U337" s="354"/>
      <c r="V337" s="354"/>
    </row>
    <row r="338" spans="1:22" ht="18.75" customHeight="1" thickTop="1" thickBot="1">
      <c r="A338" s="360" t="s">
        <v>67</v>
      </c>
      <c r="B338" s="351" t="s">
        <v>91</v>
      </c>
      <c r="C338" s="352" t="s">
        <v>71</v>
      </c>
      <c r="D338" s="352" t="s">
        <v>85</v>
      </c>
      <c r="E338" s="352"/>
      <c r="F338" s="352"/>
      <c r="G338" s="352"/>
      <c r="H338" s="352"/>
      <c r="I338" s="352"/>
      <c r="J338" s="357" t="s">
        <v>482</v>
      </c>
      <c r="K338" s="354"/>
      <c r="L338" s="354"/>
      <c r="M338" s="354"/>
      <c r="N338" s="354"/>
      <c r="O338" s="354"/>
      <c r="P338" s="354"/>
      <c r="Q338" s="354"/>
      <c r="R338" s="354"/>
      <c r="S338" s="354"/>
      <c r="T338" s="354"/>
      <c r="U338" s="354"/>
      <c r="V338" s="354"/>
    </row>
    <row r="339" spans="1:22" ht="18.75" customHeight="1" thickTop="1" thickBot="1">
      <c r="A339" s="360" t="s">
        <v>67</v>
      </c>
      <c r="B339" s="351" t="s">
        <v>91</v>
      </c>
      <c r="C339" s="352" t="s">
        <v>71</v>
      </c>
      <c r="D339" s="352" t="s">
        <v>87</v>
      </c>
      <c r="E339" s="352"/>
      <c r="F339" s="352"/>
      <c r="G339" s="352"/>
      <c r="H339" s="352"/>
      <c r="I339" s="352"/>
      <c r="J339" s="357" t="s">
        <v>483</v>
      </c>
      <c r="K339" s="354"/>
      <c r="L339" s="354"/>
      <c r="M339" s="354"/>
      <c r="N339" s="354"/>
      <c r="O339" s="354"/>
      <c r="P339" s="354"/>
      <c r="Q339" s="354"/>
      <c r="R339" s="354"/>
      <c r="S339" s="354"/>
      <c r="T339" s="354"/>
      <c r="U339" s="354"/>
      <c r="V339" s="354"/>
    </row>
    <row r="340" spans="1:22" ht="18.75" customHeight="1" thickTop="1" thickBot="1">
      <c r="A340" s="360" t="s">
        <v>67</v>
      </c>
      <c r="B340" s="351" t="s">
        <v>91</v>
      </c>
      <c r="C340" s="352" t="s">
        <v>85</v>
      </c>
      <c r="D340" s="352"/>
      <c r="E340" s="360"/>
      <c r="F340" s="352"/>
      <c r="G340" s="352"/>
      <c r="H340" s="352"/>
      <c r="I340" s="352"/>
      <c r="J340" s="417" t="s">
        <v>484</v>
      </c>
      <c r="K340" s="354"/>
      <c r="L340" s="354"/>
      <c r="M340" s="354"/>
      <c r="N340" s="354"/>
      <c r="O340" s="354"/>
      <c r="P340" s="354"/>
      <c r="Q340" s="354"/>
      <c r="R340" s="354"/>
      <c r="S340" s="354"/>
      <c r="T340" s="354"/>
      <c r="U340" s="354"/>
      <c r="V340" s="354"/>
    </row>
    <row r="341" spans="1:22" ht="18.75" customHeight="1" thickTop="1" thickBot="1">
      <c r="A341" s="360" t="s">
        <v>67</v>
      </c>
      <c r="B341" s="351" t="s">
        <v>91</v>
      </c>
      <c r="C341" s="352" t="s">
        <v>87</v>
      </c>
      <c r="D341" s="352"/>
      <c r="E341" s="360"/>
      <c r="F341" s="352"/>
      <c r="G341" s="352"/>
      <c r="H341" s="352"/>
      <c r="I341" s="352"/>
      <c r="J341" s="417" t="s">
        <v>485</v>
      </c>
      <c r="K341" s="354"/>
      <c r="L341" s="354"/>
      <c r="M341" s="354"/>
      <c r="N341" s="354"/>
      <c r="O341" s="354"/>
      <c r="P341" s="354"/>
      <c r="Q341" s="354"/>
      <c r="R341" s="354"/>
      <c r="S341" s="354"/>
      <c r="T341" s="354"/>
      <c r="U341" s="354"/>
      <c r="V341" s="354"/>
    </row>
    <row r="342" spans="1:22" ht="36" customHeight="1" thickTop="1" thickBot="1">
      <c r="A342" s="360"/>
      <c r="B342" s="351"/>
    </row>
    <row r="343" spans="1:22" ht="36" customHeight="1" thickTop="1"/>
  </sheetData>
  <mergeCells count="16">
    <mergeCell ref="U5:U6"/>
    <mergeCell ref="V5:V6"/>
    <mergeCell ref="W5:W6"/>
    <mergeCell ref="X5:X6"/>
    <mergeCell ref="A1:V1"/>
    <mergeCell ref="A2:V2"/>
    <mergeCell ref="A3:V3"/>
    <mergeCell ref="A4:V4"/>
    <mergeCell ref="A5:I5"/>
    <mergeCell ref="J5:J6"/>
    <mergeCell ref="K5:K6"/>
    <mergeCell ref="L5:M5"/>
    <mergeCell ref="N5:N6"/>
    <mergeCell ref="O5:R5"/>
    <mergeCell ref="S5:S6"/>
    <mergeCell ref="T5:T6"/>
  </mergeCells>
  <phoneticPr fontId="41" type="noConversion"/>
  <printOptions horizontalCentered="1" verticalCentered="1"/>
  <pageMargins left="0.78740157480314965" right="0.78740157480314965" top="0.98425196850393704" bottom="0.98425196850393704" header="0" footer="0"/>
  <pageSetup paperSize="9" scale="1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theme="0" tint="-0.14999847407452621"/>
  </sheetPr>
  <dimension ref="A1:U174"/>
  <sheetViews>
    <sheetView topLeftCell="A22" zoomScale="82" zoomScaleNormal="82" workbookViewId="0">
      <selection activeCell="L31" sqref="L31:L32"/>
    </sheetView>
  </sheetViews>
  <sheetFormatPr baseColWidth="10" defaultColWidth="11.44140625" defaultRowHeight="14.4"/>
  <cols>
    <col min="1" max="1" width="1.88671875" customWidth="1"/>
    <col min="2" max="2" width="10.88671875" customWidth="1"/>
    <col min="3" max="3" width="7.33203125" style="65" customWidth="1"/>
    <col min="4" max="4" width="42.88671875" customWidth="1"/>
    <col min="5" max="5" width="15.33203125" customWidth="1"/>
    <col min="6" max="6" width="8.88671875" customWidth="1"/>
    <col min="7" max="7" width="13.109375" customWidth="1"/>
    <col min="8" max="8" width="16.44140625" customWidth="1"/>
    <col min="9" max="9" width="15.77734375" customWidth="1"/>
    <col min="10" max="10" width="15.109375" customWidth="1"/>
    <col min="11" max="11" width="15.6640625" customWidth="1"/>
    <col min="12" max="12" width="58.5546875" customWidth="1"/>
    <col min="13" max="13" width="10.44140625" customWidth="1"/>
    <col min="14" max="15" width="9.44140625" customWidth="1"/>
    <col min="16" max="16" width="8.4414062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22</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0" t="s">
        <v>739</v>
      </c>
      <c r="C8" s="539">
        <v>2025</v>
      </c>
      <c r="D8" s="164">
        <f>IF(E10="NO APLICA","NO APLICA",IF(E11="NO SE REPORTA","SIN INFORMACION",+Q22))</f>
        <v>1</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t="s">
        <v>899</v>
      </c>
      <c r="G11" s="2397"/>
      <c r="H11" s="2397"/>
      <c r="I11" s="2397"/>
      <c r="J11" s="2397"/>
      <c r="K11" s="2397"/>
      <c r="L11" s="2397"/>
      <c r="M11" s="2397"/>
      <c r="N11" s="2397"/>
      <c r="O11" s="2397"/>
      <c r="P11" s="2397"/>
      <c r="Q11" s="2397"/>
      <c r="R11" s="2397"/>
      <c r="S11" s="2397"/>
    </row>
    <row r="12" spans="1:21" ht="108.75" customHeight="1">
      <c r="B12" s="290"/>
      <c r="C12" s="66"/>
      <c r="D12" s="141" t="str">
        <f>IF(E11="SI SE REPORTA","¿Qué programas o proyectos del Plan de Acción están asociados al indicador? ","")</f>
        <v xml:space="preserve">¿Qué programas o proyectos del Plan de Acción están asociados al indicador? </v>
      </c>
      <c r="E12" s="2547" t="s">
        <v>1315</v>
      </c>
      <c r="F12" s="2547"/>
      <c r="G12" s="2547"/>
      <c r="H12" s="2547"/>
      <c r="I12" s="2547"/>
      <c r="J12" s="2547"/>
      <c r="K12" s="2547"/>
      <c r="L12" s="2547"/>
      <c r="M12" s="2547"/>
      <c r="N12" s="2547"/>
      <c r="O12" s="2547"/>
      <c r="P12" s="2547"/>
      <c r="Q12" s="2547"/>
      <c r="R12" s="2547"/>
    </row>
    <row r="13" spans="1:21" ht="228" customHeight="1">
      <c r="B13" s="290"/>
      <c r="C13" s="66"/>
      <c r="D13" s="141" t="s">
        <v>746</v>
      </c>
      <c r="E13" s="2501" t="s">
        <v>1316</v>
      </c>
      <c r="F13" s="2502"/>
      <c r="G13" s="2502"/>
      <c r="H13" s="2502"/>
      <c r="I13" s="2502"/>
      <c r="J13" s="2502"/>
      <c r="K13" s="2502"/>
      <c r="L13" s="2502"/>
      <c r="M13" s="2502"/>
      <c r="N13" s="2502"/>
      <c r="O13" s="2502"/>
      <c r="P13" s="2502"/>
      <c r="Q13" s="2502"/>
      <c r="R13" s="2503"/>
    </row>
    <row r="14" spans="1:21" ht="6.9" customHeight="1" thickBot="1">
      <c r="B14" s="290"/>
      <c r="D14" s="5"/>
      <c r="E14" s="5"/>
      <c r="F14" s="5"/>
      <c r="G14" s="5"/>
      <c r="H14" s="5"/>
      <c r="I14" s="5"/>
      <c r="J14" s="5"/>
      <c r="K14" s="5"/>
    </row>
    <row r="15" spans="1:21" ht="15" thickBot="1">
      <c r="B15" s="2631" t="s">
        <v>747</v>
      </c>
      <c r="C15" s="80"/>
      <c r="D15" s="2424" t="s">
        <v>1103</v>
      </c>
      <c r="E15" s="2425"/>
      <c r="F15" s="2425"/>
      <c r="G15" s="2425"/>
      <c r="H15" s="2425"/>
      <c r="I15" s="2425"/>
      <c r="J15" s="2425"/>
      <c r="K15" s="2425"/>
      <c r="L15" s="2616"/>
      <c r="M15" s="2616"/>
      <c r="N15" s="2616"/>
      <c r="O15" s="2616"/>
      <c r="P15" s="2597"/>
      <c r="Q15" s="2559" t="s">
        <v>905</v>
      </c>
    </row>
    <row r="16" spans="1:21" ht="15" thickBot="1">
      <c r="B16" s="2632"/>
      <c r="C16" s="86"/>
      <c r="D16" s="2414" t="s">
        <v>904</v>
      </c>
      <c r="E16" s="2628" t="s">
        <v>1317</v>
      </c>
      <c r="F16" s="2629"/>
      <c r="G16" s="2629"/>
      <c r="H16" s="2629"/>
      <c r="I16" s="2629"/>
      <c r="J16" s="2630"/>
      <c r="K16" s="2628" t="s">
        <v>1318</v>
      </c>
      <c r="L16" s="2635"/>
      <c r="M16" s="2635"/>
      <c r="N16" s="2635"/>
      <c r="O16" s="2635"/>
      <c r="P16" s="2636"/>
      <c r="Q16" s="2604"/>
    </row>
    <row r="17" spans="2:17" ht="15" thickBot="1">
      <c r="B17" s="2632"/>
      <c r="C17" s="86"/>
      <c r="D17" s="2405"/>
      <c r="E17" s="2628" t="s">
        <v>1319</v>
      </c>
      <c r="F17" s="2629"/>
      <c r="G17" s="2630"/>
      <c r="H17" s="2628" t="s">
        <v>1320</v>
      </c>
      <c r="I17" s="2629"/>
      <c r="J17" s="2630"/>
      <c r="K17" s="2628" t="s">
        <v>1319</v>
      </c>
      <c r="L17" s="2635"/>
      <c r="M17" s="2636"/>
      <c r="N17" s="2638" t="s">
        <v>1320</v>
      </c>
      <c r="O17" s="2635"/>
      <c r="P17" s="2636"/>
      <c r="Q17" s="2604"/>
    </row>
    <row r="18" spans="2:17" ht="15" thickBot="1">
      <c r="B18" s="2632"/>
      <c r="C18" s="86"/>
      <c r="D18" s="2627"/>
      <c r="E18" s="32" t="s">
        <v>1321</v>
      </c>
      <c r="F18" s="32" t="s">
        <v>1322</v>
      </c>
      <c r="G18" s="32" t="s">
        <v>1323</v>
      </c>
      <c r="H18" s="32" t="s">
        <v>1321</v>
      </c>
      <c r="I18" s="32" t="s">
        <v>1322</v>
      </c>
      <c r="J18" s="32" t="s">
        <v>1323</v>
      </c>
      <c r="K18" s="32" t="s">
        <v>1321</v>
      </c>
      <c r="L18" s="12" t="s">
        <v>1322</v>
      </c>
      <c r="M18" s="12" t="s">
        <v>1323</v>
      </c>
      <c r="N18" s="12" t="s">
        <v>1321</v>
      </c>
      <c r="O18" s="12" t="s">
        <v>1322</v>
      </c>
      <c r="P18" s="12" t="s">
        <v>1323</v>
      </c>
      <c r="Q18" s="2560"/>
    </row>
    <row r="19" spans="2:17" ht="24.6" thickBot="1">
      <c r="B19" s="2632"/>
      <c r="C19" s="86"/>
      <c r="D19" s="32" t="s">
        <v>1324</v>
      </c>
      <c r="E19" s="494">
        <v>0</v>
      </c>
      <c r="F19" s="494">
        <v>4</v>
      </c>
      <c r="G19" s="494">
        <v>1</v>
      </c>
      <c r="H19" s="494">
        <v>2</v>
      </c>
      <c r="I19" s="494">
        <v>2</v>
      </c>
      <c r="J19" s="494">
        <v>4</v>
      </c>
      <c r="K19" s="494">
        <v>0</v>
      </c>
      <c r="L19" s="494">
        <v>0</v>
      </c>
      <c r="M19" s="494">
        <v>0</v>
      </c>
      <c r="N19" s="494">
        <v>1</v>
      </c>
      <c r="O19" s="494">
        <v>0</v>
      </c>
      <c r="P19" s="494">
        <v>1</v>
      </c>
      <c r="Q19" s="500">
        <f>SUM(E19:P19)</f>
        <v>15</v>
      </c>
    </row>
    <row r="20" spans="2:17" ht="45.75" customHeight="1" thickBot="1">
      <c r="B20" s="2632"/>
      <c r="C20" s="86"/>
      <c r="D20" s="659" t="s">
        <v>1325</v>
      </c>
      <c r="E20" s="494">
        <v>0</v>
      </c>
      <c r="F20" s="494">
        <v>0</v>
      </c>
      <c r="G20" s="494">
        <v>0</v>
      </c>
      <c r="H20" s="494">
        <v>0</v>
      </c>
      <c r="I20" s="494">
        <v>0</v>
      </c>
      <c r="J20" s="494">
        <v>0</v>
      </c>
      <c r="K20" s="494">
        <v>0</v>
      </c>
      <c r="L20" s="494">
        <v>0</v>
      </c>
      <c r="M20" s="494">
        <v>0</v>
      </c>
      <c r="N20" s="494">
        <v>0</v>
      </c>
      <c r="O20" s="494">
        <v>0</v>
      </c>
      <c r="P20" s="494">
        <v>0</v>
      </c>
      <c r="Q20" s="500">
        <f>SUM(E20:P20)</f>
        <v>0</v>
      </c>
    </row>
    <row r="21" spans="2:17" ht="47.25" customHeight="1" thickBot="1">
      <c r="B21" s="2632"/>
      <c r="C21" s="86"/>
      <c r="D21" s="659" t="s">
        <v>1326</v>
      </c>
      <c r="E21" s="494">
        <v>0</v>
      </c>
      <c r="F21" s="494">
        <v>0</v>
      </c>
      <c r="G21" s="494">
        <v>0</v>
      </c>
      <c r="H21" s="494">
        <v>0</v>
      </c>
      <c r="I21" s="494">
        <v>0</v>
      </c>
      <c r="J21" s="494">
        <v>0</v>
      </c>
      <c r="K21" s="494">
        <v>0</v>
      </c>
      <c r="L21" s="494">
        <v>0</v>
      </c>
      <c r="M21" s="494">
        <v>0</v>
      </c>
      <c r="N21" s="494">
        <v>0</v>
      </c>
      <c r="O21" s="494">
        <v>0</v>
      </c>
      <c r="P21" s="494">
        <v>0</v>
      </c>
      <c r="Q21" s="500">
        <f>SUM(E21:P21)</f>
        <v>0</v>
      </c>
    </row>
    <row r="22" spans="2:17" ht="24.6" thickBot="1">
      <c r="B22" s="2632"/>
      <c r="C22" s="86"/>
      <c r="D22" s="32" t="s">
        <v>22</v>
      </c>
      <c r="E22" s="118" t="str">
        <f>IFERROR(E21/E20,"N.A.")</f>
        <v>N.A.</v>
      </c>
      <c r="F22" s="118" t="str">
        <f t="shared" ref="F22:P22" si="0">IFERROR(F21/F20,"N.A.")</f>
        <v>N.A.</v>
      </c>
      <c r="G22" s="118" t="str">
        <f t="shared" si="0"/>
        <v>N.A.</v>
      </c>
      <c r="H22" s="118" t="str">
        <f t="shared" si="0"/>
        <v>N.A.</v>
      </c>
      <c r="I22" s="118" t="str">
        <f t="shared" si="0"/>
        <v>N.A.</v>
      </c>
      <c r="J22" s="118" t="str">
        <f t="shared" si="0"/>
        <v>N.A.</v>
      </c>
      <c r="K22" s="118" t="str">
        <f t="shared" si="0"/>
        <v>N.A.</v>
      </c>
      <c r="L22" s="118" t="str">
        <f t="shared" si="0"/>
        <v>N.A.</v>
      </c>
      <c r="M22" s="118" t="str">
        <f t="shared" si="0"/>
        <v>N.A.</v>
      </c>
      <c r="N22" s="118" t="str">
        <f t="shared" si="0"/>
        <v>N.A.</v>
      </c>
      <c r="O22" s="118" t="str">
        <f t="shared" si="0"/>
        <v>N.A.</v>
      </c>
      <c r="P22" s="118" t="str">
        <f t="shared" si="0"/>
        <v>N.A.</v>
      </c>
      <c r="Q22" s="118">
        <v>1</v>
      </c>
    </row>
    <row r="23" spans="2:17">
      <c r="B23" s="2632"/>
      <c r="C23" s="81"/>
      <c r="D23" s="2412" t="s">
        <v>1327</v>
      </c>
      <c r="E23" s="2413"/>
      <c r="F23" s="2413"/>
      <c r="G23" s="2413"/>
      <c r="H23" s="2413"/>
      <c r="I23" s="2413"/>
      <c r="J23" s="2413"/>
      <c r="K23" s="2413"/>
      <c r="L23" s="2634"/>
      <c r="M23" s="2634"/>
      <c r="N23" s="2634"/>
      <c r="O23" s="2634"/>
      <c r="P23" s="2615"/>
    </row>
    <row r="24" spans="2:17">
      <c r="B24" s="2632"/>
      <c r="C24" s="81"/>
      <c r="D24" s="2403" t="s">
        <v>1328</v>
      </c>
      <c r="E24" s="2404"/>
      <c r="F24" s="2404"/>
      <c r="G24" s="2404"/>
      <c r="H24" s="2404"/>
      <c r="I24" s="2404"/>
      <c r="J24" s="2404"/>
      <c r="K24" s="2404"/>
      <c r="L24" s="2618"/>
      <c r="M24" s="2618"/>
      <c r="N24" s="2618"/>
      <c r="O24" s="2618"/>
      <c r="P24" s="2598"/>
    </row>
    <row r="25" spans="2:17">
      <c r="B25" s="2632"/>
      <c r="C25" s="81"/>
      <c r="D25" s="2403" t="s">
        <v>1329</v>
      </c>
      <c r="E25" s="2404"/>
      <c r="F25" s="2404"/>
      <c r="G25" s="2404"/>
      <c r="H25" s="2404"/>
      <c r="I25" s="2404"/>
      <c r="J25" s="2404"/>
      <c r="K25" s="2404"/>
      <c r="L25" s="2618"/>
      <c r="M25" s="2618"/>
      <c r="N25" s="2618"/>
      <c r="O25" s="2618"/>
      <c r="P25" s="2598"/>
    </row>
    <row r="26" spans="2:17">
      <c r="B26" s="2632"/>
      <c r="C26" s="81"/>
      <c r="D26" s="2415" t="s">
        <v>1021</v>
      </c>
      <c r="E26" s="2416"/>
      <c r="F26" s="2416"/>
      <c r="G26" s="2416"/>
      <c r="H26" s="2416"/>
      <c r="I26" s="2416"/>
      <c r="J26" s="2416"/>
      <c r="K26" s="2416"/>
      <c r="L26" s="2617"/>
      <c r="M26" s="2617"/>
      <c r="N26" s="2617"/>
      <c r="O26" s="2617"/>
      <c r="P26" s="2599"/>
    </row>
    <row r="27" spans="2:17">
      <c r="B27" s="2632"/>
      <c r="C27" s="81"/>
      <c r="D27" s="2415" t="s">
        <v>1330</v>
      </c>
      <c r="E27" s="2416"/>
      <c r="F27" s="2416"/>
      <c r="G27" s="2416"/>
      <c r="H27" s="2416"/>
      <c r="I27" s="2416"/>
      <c r="J27" s="2416"/>
      <c r="K27" s="2416"/>
      <c r="L27" s="2617"/>
      <c r="M27" s="2617"/>
      <c r="N27" s="2617"/>
      <c r="O27" s="2617"/>
      <c r="P27" s="2599"/>
    </row>
    <row r="28" spans="2:17" ht="15" thickBot="1">
      <c r="B28" s="2632"/>
      <c r="C28" s="81"/>
      <c r="D28" s="2403" t="s">
        <v>1110</v>
      </c>
      <c r="E28" s="2404"/>
      <c r="F28" s="2404"/>
      <c r="G28" s="2404"/>
      <c r="H28" s="2404"/>
      <c r="I28" s="2404"/>
      <c r="J28" s="2404"/>
      <c r="K28" s="2404"/>
      <c r="L28" s="2618"/>
      <c r="M28" s="2618"/>
      <c r="N28" s="2618"/>
      <c r="O28" s="2618"/>
      <c r="P28" s="2598"/>
    </row>
    <row r="29" spans="2:17" ht="21" customHeight="1">
      <c r="B29" s="2632"/>
      <c r="C29" s="2549" t="s">
        <v>698</v>
      </c>
      <c r="D29" s="2559" t="s">
        <v>1023</v>
      </c>
      <c r="E29" s="2559" t="s">
        <v>1331</v>
      </c>
      <c r="F29" s="2559" t="s">
        <v>1332</v>
      </c>
      <c r="G29" s="2559" t="s">
        <v>1333</v>
      </c>
      <c r="H29" s="151" t="s">
        <v>1291</v>
      </c>
      <c r="I29" s="151" t="s">
        <v>1292</v>
      </c>
      <c r="J29" s="2559" t="s">
        <v>1027</v>
      </c>
      <c r="K29" s="2559" t="s">
        <v>1028</v>
      </c>
      <c r="L29" s="2559" t="s">
        <v>702</v>
      </c>
      <c r="P29" s="10"/>
    </row>
    <row r="30" spans="2:17" ht="15" thickBot="1">
      <c r="B30" s="2632"/>
      <c r="C30" s="2550"/>
      <c r="D30" s="2560"/>
      <c r="E30" s="2560"/>
      <c r="F30" s="2560"/>
      <c r="G30" s="2560"/>
      <c r="H30" s="152" t="s">
        <v>1293</v>
      </c>
      <c r="I30" s="152" t="s">
        <v>1294</v>
      </c>
      <c r="J30" s="2560"/>
      <c r="K30" s="2560"/>
      <c r="L30" s="2560"/>
      <c r="P30" s="10"/>
    </row>
    <row r="31" spans="2:17" ht="51.75" customHeight="1">
      <c r="B31" s="2632"/>
      <c r="C31" s="2639"/>
      <c r="D31" s="2642" t="s">
        <v>1334</v>
      </c>
      <c r="E31" s="2646"/>
      <c r="F31" s="2646">
        <v>1</v>
      </c>
      <c r="G31" s="2650" t="s">
        <v>2088</v>
      </c>
      <c r="H31" s="2619">
        <v>324000000</v>
      </c>
      <c r="I31" s="2619">
        <v>324000000</v>
      </c>
      <c r="J31" s="2619">
        <v>324000000</v>
      </c>
      <c r="K31" s="2621">
        <v>223258373</v>
      </c>
      <c r="L31" s="2623" t="s">
        <v>2070</v>
      </c>
      <c r="P31" s="10"/>
    </row>
    <row r="32" spans="2:17" ht="40.5" customHeight="1" thickBot="1">
      <c r="B32" s="2632"/>
      <c r="C32" s="2640"/>
      <c r="D32" s="2643"/>
      <c r="E32" s="2647"/>
      <c r="F32" s="2647"/>
      <c r="G32" s="2651"/>
      <c r="H32" s="2620"/>
      <c r="I32" s="2620"/>
      <c r="J32" s="2620"/>
      <c r="K32" s="2622"/>
      <c r="L32" s="2624"/>
      <c r="P32" s="10"/>
    </row>
    <row r="33" spans="2:16" ht="23.25" customHeight="1">
      <c r="B33" s="2632"/>
      <c r="C33" s="2640"/>
      <c r="D33" s="2644" t="s">
        <v>1335</v>
      </c>
      <c r="E33" s="2648"/>
      <c r="F33" s="2648"/>
      <c r="G33" s="2652"/>
      <c r="H33" s="926"/>
      <c r="I33" s="926"/>
      <c r="J33" s="926"/>
      <c r="K33" s="927"/>
      <c r="L33" s="873" t="s">
        <v>2071</v>
      </c>
      <c r="P33" s="10"/>
    </row>
    <row r="34" spans="2:16" ht="19.5" customHeight="1" thickBot="1">
      <c r="B34" s="2632"/>
      <c r="C34" s="2641"/>
      <c r="D34" s="2645"/>
      <c r="E34" s="2649"/>
      <c r="F34" s="2649"/>
      <c r="G34" s="2653"/>
      <c r="H34" s="874"/>
      <c r="I34" s="874"/>
      <c r="J34" s="874"/>
      <c r="K34" s="875"/>
      <c r="L34" s="876"/>
      <c r="P34" s="10"/>
    </row>
    <row r="35" spans="2:16" ht="37.5" customHeight="1" thickBot="1">
      <c r="B35" s="2633"/>
      <c r="C35" s="87"/>
      <c r="D35" s="527" t="s">
        <v>905</v>
      </c>
      <c r="E35" s="22"/>
      <c r="F35" s="22"/>
      <c r="G35" s="22"/>
      <c r="H35" s="680">
        <f>SUM(H31:H34)</f>
        <v>324000000</v>
      </c>
      <c r="I35" s="681">
        <f>SUM(I31:I34)</f>
        <v>324000000</v>
      </c>
      <c r="J35" s="681">
        <f>SUM(J31:J34)</f>
        <v>324000000</v>
      </c>
      <c r="K35" s="681">
        <f>SUM(K31:K34)</f>
        <v>223258373</v>
      </c>
      <c r="L35" s="146"/>
      <c r="M35" s="11"/>
      <c r="N35" s="11"/>
      <c r="P35" s="7"/>
    </row>
    <row r="36" spans="2:16" ht="24" customHeight="1" thickBot="1">
      <c r="B36" s="60" t="s">
        <v>803</v>
      </c>
      <c r="C36" s="85"/>
      <c r="D36" s="2424" t="s">
        <v>1336</v>
      </c>
      <c r="E36" s="2425"/>
      <c r="F36" s="2425"/>
      <c r="G36" s="2425"/>
      <c r="H36" s="2425"/>
      <c r="I36" s="2425"/>
      <c r="J36" s="2425"/>
      <c r="K36" s="2425"/>
      <c r="L36" s="2616"/>
      <c r="M36" s="2616"/>
      <c r="N36" s="2616"/>
      <c r="O36" s="2616"/>
      <c r="P36" s="2597"/>
    </row>
    <row r="37" spans="2:16" ht="21" thickBot="1">
      <c r="B37" s="60" t="s">
        <v>805</v>
      </c>
      <c r="C37" s="85"/>
      <c r="D37" s="2424" t="s">
        <v>1117</v>
      </c>
      <c r="E37" s="2425"/>
      <c r="F37" s="2425"/>
      <c r="G37" s="2425"/>
      <c r="H37" s="2425"/>
      <c r="I37" s="2425"/>
      <c r="J37" s="2425"/>
      <c r="K37" s="2425"/>
      <c r="L37" s="2616"/>
      <c r="M37" s="2616"/>
      <c r="N37" s="2616"/>
      <c r="O37" s="2616"/>
      <c r="P37" s="2597"/>
    </row>
    <row r="38" spans="2:16" ht="15" thickBot="1">
      <c r="B38" s="1"/>
      <c r="C38" s="63"/>
      <c r="D38" s="5"/>
      <c r="E38" s="5"/>
      <c r="F38" s="5"/>
      <c r="G38" s="5"/>
      <c r="H38" s="5"/>
      <c r="I38" s="5"/>
      <c r="J38" s="5"/>
      <c r="K38" s="5"/>
    </row>
    <row r="39" spans="2:16" ht="24" customHeight="1" thickBot="1">
      <c r="B39" s="2431" t="s">
        <v>807</v>
      </c>
      <c r="C39" s="2432"/>
      <c r="D39" s="2432"/>
      <c r="E39" s="2433"/>
      <c r="F39" s="5"/>
      <c r="G39" s="5"/>
      <c r="H39" s="5"/>
      <c r="I39" s="5"/>
      <c r="J39" s="5"/>
      <c r="K39" s="5"/>
    </row>
    <row r="40" spans="2:16" ht="15" thickBot="1">
      <c r="B40" s="2421">
        <v>1</v>
      </c>
      <c r="C40" s="72"/>
      <c r="D40" s="38" t="s">
        <v>808</v>
      </c>
      <c r="E40" s="25" t="s">
        <v>809</v>
      </c>
      <c r="F40" s="5"/>
      <c r="G40" s="5"/>
      <c r="H40" s="5"/>
      <c r="I40" s="5"/>
      <c r="J40" s="5"/>
      <c r="K40" s="5"/>
    </row>
    <row r="41" spans="2:16" ht="24.6" thickBot="1">
      <c r="B41" s="2422"/>
      <c r="C41" s="72"/>
      <c r="D41" s="32" t="s">
        <v>528</v>
      </c>
      <c r="E41" s="24" t="s">
        <v>1337</v>
      </c>
      <c r="F41" s="5"/>
      <c r="G41" s="5"/>
      <c r="H41" s="5"/>
      <c r="I41" s="5"/>
      <c r="J41" s="5"/>
      <c r="K41" s="5"/>
    </row>
    <row r="42" spans="2:16" ht="15" thickBot="1">
      <c r="B42" s="2422"/>
      <c r="C42" s="72"/>
      <c r="D42" s="32" t="s">
        <v>811</v>
      </c>
      <c r="E42" s="24" t="s">
        <v>985</v>
      </c>
      <c r="F42" s="5"/>
      <c r="G42" s="5"/>
      <c r="H42" s="5"/>
      <c r="I42" s="5"/>
      <c r="J42" s="5"/>
      <c r="K42" s="5"/>
    </row>
    <row r="43" spans="2:16" ht="15" thickBot="1">
      <c r="B43" s="2422"/>
      <c r="C43" s="72"/>
      <c r="D43" s="32" t="s">
        <v>531</v>
      </c>
      <c r="E43" s="25" t="s">
        <v>1338</v>
      </c>
      <c r="F43" s="5"/>
      <c r="G43" s="5"/>
      <c r="H43" s="5"/>
      <c r="I43" s="5"/>
      <c r="J43" s="5"/>
      <c r="K43" s="5"/>
    </row>
    <row r="44" spans="2:16" ht="29.4" thickBot="1">
      <c r="B44" s="2422"/>
      <c r="C44" s="72"/>
      <c r="D44" s="32" t="s">
        <v>534</v>
      </c>
      <c r="E44" s="490" t="s">
        <v>944</v>
      </c>
      <c r="F44" s="5"/>
      <c r="G44" s="5"/>
      <c r="H44" s="5"/>
      <c r="I44" s="5"/>
      <c r="J44" s="5"/>
      <c r="K44" s="5"/>
    </row>
    <row r="45" spans="2:16" ht="15" thickBot="1">
      <c r="B45" s="2422"/>
      <c r="C45" s="72"/>
      <c r="D45" s="32" t="s">
        <v>537</v>
      </c>
      <c r="E45" s="24" t="s">
        <v>945</v>
      </c>
      <c r="F45" s="5"/>
      <c r="G45" s="5"/>
      <c r="H45" s="5"/>
      <c r="I45" s="5"/>
      <c r="J45" s="5"/>
      <c r="K45" s="5"/>
    </row>
    <row r="46" spans="2:16" ht="24.6" thickBot="1">
      <c r="B46" s="2423"/>
      <c r="C46" s="2"/>
      <c r="D46" s="32" t="s">
        <v>815</v>
      </c>
      <c r="E46" s="24" t="s">
        <v>816</v>
      </c>
      <c r="F46" s="5"/>
      <c r="G46" s="5"/>
      <c r="H46" s="5"/>
      <c r="I46" s="5"/>
      <c r="J46" s="5"/>
      <c r="K46" s="5"/>
    </row>
    <row r="47" spans="2:16" ht="15" thickBot="1">
      <c r="B47" s="1"/>
      <c r="C47" s="63"/>
      <c r="D47" s="5"/>
      <c r="E47" s="5"/>
      <c r="F47" s="5"/>
      <c r="G47" s="5"/>
      <c r="H47" s="5"/>
      <c r="I47" s="5"/>
      <c r="J47" s="5"/>
      <c r="K47" s="5"/>
    </row>
    <row r="48" spans="2:16" ht="15" thickBot="1">
      <c r="B48" s="2431" t="s">
        <v>817</v>
      </c>
      <c r="C48" s="2432"/>
      <c r="D48" s="2432"/>
      <c r="E48" s="2433"/>
      <c r="F48" s="5"/>
      <c r="G48" s="5"/>
      <c r="H48" s="5"/>
      <c r="I48" s="5"/>
      <c r="J48" s="5"/>
      <c r="K48" s="5"/>
    </row>
    <row r="49" spans="2:11" ht="15" thickBot="1">
      <c r="B49" s="2421">
        <v>1</v>
      </c>
      <c r="C49" s="72"/>
      <c r="D49" s="38" t="s">
        <v>808</v>
      </c>
      <c r="E49" s="170" t="s">
        <v>1339</v>
      </c>
      <c r="F49" s="5"/>
      <c r="G49" s="5"/>
      <c r="H49" s="5"/>
      <c r="I49" s="5"/>
      <c r="J49" s="5"/>
      <c r="K49" s="5"/>
    </row>
    <row r="50" spans="2:11" ht="15" thickBot="1">
      <c r="B50" s="2422"/>
      <c r="C50" s="72"/>
      <c r="D50" s="32" t="s">
        <v>528</v>
      </c>
      <c r="E50" s="170" t="s">
        <v>819</v>
      </c>
      <c r="F50" s="5"/>
      <c r="G50" s="5"/>
      <c r="H50" s="5"/>
      <c r="I50" s="5"/>
      <c r="J50" s="5"/>
      <c r="K50" s="5"/>
    </row>
    <row r="51" spans="2:11" ht="15" thickBot="1">
      <c r="B51" s="2422"/>
      <c r="C51" s="72"/>
      <c r="D51" s="32" t="s">
        <v>811</v>
      </c>
      <c r="E51" s="187"/>
      <c r="F51" s="5"/>
      <c r="G51" s="5"/>
      <c r="H51" s="5"/>
      <c r="I51" s="5"/>
      <c r="J51" s="5"/>
      <c r="K51" s="5"/>
    </row>
    <row r="52" spans="2:11" ht="15" thickBot="1">
      <c r="B52" s="2422"/>
      <c r="C52" s="72"/>
      <c r="D52" s="32" t="s">
        <v>531</v>
      </c>
      <c r="E52" s="187"/>
      <c r="F52" s="5"/>
      <c r="G52" s="5"/>
      <c r="H52" s="5"/>
      <c r="I52" s="5"/>
      <c r="J52" s="5"/>
      <c r="K52" s="5"/>
    </row>
    <row r="53" spans="2:11" ht="15" thickBot="1">
      <c r="B53" s="2422"/>
      <c r="C53" s="72"/>
      <c r="D53" s="32" t="s">
        <v>534</v>
      </c>
      <c r="E53" s="187"/>
      <c r="F53" s="5"/>
      <c r="G53" s="5"/>
      <c r="H53" s="5"/>
      <c r="I53" s="5"/>
      <c r="J53" s="5"/>
      <c r="K53" s="5"/>
    </row>
    <row r="54" spans="2:11" ht="15" thickBot="1">
      <c r="B54" s="2422"/>
      <c r="C54" s="72"/>
      <c r="D54" s="32" t="s">
        <v>537</v>
      </c>
      <c r="E54" s="187"/>
      <c r="F54" s="5"/>
      <c r="G54" s="5"/>
      <c r="H54" s="5"/>
      <c r="I54" s="5"/>
      <c r="J54" s="5"/>
      <c r="K54" s="5"/>
    </row>
    <row r="55" spans="2:11" ht="15" thickBot="1">
      <c r="B55" s="2423"/>
      <c r="C55" s="2"/>
      <c r="D55" s="32" t="s">
        <v>815</v>
      </c>
      <c r="E55" s="187"/>
      <c r="F55" s="5"/>
      <c r="G55" s="5"/>
      <c r="H55" s="5"/>
      <c r="I55" s="5"/>
      <c r="J55" s="5"/>
      <c r="K55" s="5"/>
    </row>
    <row r="56" spans="2:11">
      <c r="B56" s="1"/>
      <c r="C56" s="63"/>
      <c r="D56" s="5"/>
      <c r="E56" s="5"/>
      <c r="F56" s="5"/>
      <c r="G56" s="5"/>
      <c r="H56" s="5"/>
      <c r="I56" s="5"/>
      <c r="J56" s="5"/>
      <c r="K56" s="5"/>
    </row>
    <row r="57" spans="2:11" ht="15" thickBot="1">
      <c r="B57" s="1"/>
      <c r="C57" s="63"/>
      <c r="D57" s="5"/>
      <c r="E57" s="5"/>
      <c r="F57" s="5"/>
      <c r="G57" s="5"/>
      <c r="H57" s="5"/>
      <c r="I57" s="5"/>
      <c r="J57" s="5"/>
      <c r="K57" s="5"/>
    </row>
    <row r="58" spans="2:11" ht="15" thickBot="1">
      <c r="B58" s="2431" t="s">
        <v>820</v>
      </c>
      <c r="C58" s="2432"/>
      <c r="D58" s="2432"/>
      <c r="E58" s="2432"/>
      <c r="F58" s="2433"/>
      <c r="G58" s="5"/>
      <c r="H58" s="5"/>
      <c r="I58" s="5"/>
      <c r="J58" s="5"/>
      <c r="K58" s="5"/>
    </row>
    <row r="59" spans="2:11" ht="24.6" thickBot="1">
      <c r="B59" s="37" t="s">
        <v>821</v>
      </c>
      <c r="C59" s="32" t="s">
        <v>822</v>
      </c>
      <c r="D59" s="32" t="s">
        <v>823</v>
      </c>
      <c r="E59" s="32" t="s">
        <v>824</v>
      </c>
      <c r="F59" s="5"/>
      <c r="G59" s="5"/>
      <c r="H59" s="5"/>
      <c r="I59" s="5"/>
      <c r="J59" s="5"/>
    </row>
    <row r="60" spans="2:11" ht="60.6" thickBot="1">
      <c r="B60" s="39">
        <v>42401</v>
      </c>
      <c r="C60" s="32">
        <v>0.01</v>
      </c>
      <c r="D60" s="40" t="s">
        <v>1340</v>
      </c>
      <c r="E60" s="32"/>
      <c r="F60" s="5"/>
      <c r="G60" s="5"/>
      <c r="H60" s="5"/>
      <c r="I60" s="5"/>
      <c r="J60" s="5"/>
    </row>
    <row r="61" spans="2:11" ht="15" thickBot="1">
      <c r="B61" s="3"/>
      <c r="C61" s="73"/>
      <c r="D61" s="5"/>
      <c r="E61" s="5"/>
      <c r="F61" s="5"/>
      <c r="G61" s="5"/>
      <c r="H61" s="5"/>
      <c r="I61" s="5"/>
      <c r="J61" s="5"/>
      <c r="K61" s="5"/>
    </row>
    <row r="62" spans="2:11" ht="15" thickBot="1">
      <c r="B62" s="4" t="s">
        <v>702</v>
      </c>
      <c r="C62" s="74"/>
      <c r="D62" s="5"/>
      <c r="E62" s="5"/>
      <c r="F62" s="5"/>
      <c r="G62" s="5"/>
      <c r="H62" s="5"/>
      <c r="I62" s="5"/>
      <c r="J62" s="5"/>
      <c r="K62" s="5"/>
    </row>
    <row r="63" spans="2:11" s="108" customFormat="1">
      <c r="B63" s="2637" t="s">
        <v>1341</v>
      </c>
      <c r="C63" s="2609"/>
      <c r="D63" s="2609"/>
      <c r="E63" s="2609"/>
      <c r="F63" s="2609"/>
      <c r="G63" s="2609"/>
      <c r="H63" s="107"/>
      <c r="I63" s="107"/>
      <c r="J63" s="107"/>
      <c r="K63" s="107"/>
    </row>
    <row r="64" spans="2:11" s="108" customFormat="1">
      <c r="B64" s="2637" t="s">
        <v>1342</v>
      </c>
      <c r="C64" s="2609"/>
      <c r="D64" s="2609"/>
      <c r="E64" s="2609"/>
      <c r="F64" s="2609"/>
      <c r="G64" s="2609"/>
      <c r="H64" s="107"/>
      <c r="I64" s="107"/>
      <c r="J64" s="107"/>
      <c r="K64" s="107"/>
    </row>
    <row r="65" spans="2:11" s="108" customFormat="1" ht="35.4" customHeight="1">
      <c r="B65" s="2625"/>
      <c r="C65" s="2626"/>
      <c r="D65" s="2626"/>
      <c r="E65" s="2626"/>
      <c r="F65" s="2626"/>
      <c r="G65" s="2626"/>
      <c r="H65" s="107"/>
      <c r="I65" s="107"/>
      <c r="J65" s="107"/>
      <c r="K65" s="107"/>
    </row>
    <row r="66" spans="2:11" ht="15" thickBot="1">
      <c r="B66" s="1"/>
      <c r="C66" s="63"/>
      <c r="D66" s="5"/>
      <c r="E66" s="5"/>
      <c r="F66" s="5"/>
      <c r="G66" s="5"/>
      <c r="H66" s="5"/>
      <c r="I66" s="5"/>
      <c r="J66" s="5"/>
      <c r="K66" s="5"/>
    </row>
    <row r="67" spans="2:11" ht="24.6" thickBot="1">
      <c r="B67" s="41" t="s">
        <v>826</v>
      </c>
      <c r="C67" s="75"/>
      <c r="D67" s="5"/>
      <c r="E67" s="5"/>
      <c r="F67" s="5"/>
      <c r="G67" s="5"/>
      <c r="H67" s="5"/>
      <c r="I67" s="5"/>
      <c r="J67" s="5"/>
      <c r="K67" s="5"/>
    </row>
    <row r="68" spans="2:11" ht="15" thickBot="1">
      <c r="B68" s="29"/>
      <c r="C68" s="66"/>
      <c r="D68" s="5"/>
      <c r="E68" s="5"/>
      <c r="F68" s="5"/>
      <c r="G68" s="5"/>
      <c r="H68" s="5"/>
      <c r="I68" s="5"/>
      <c r="J68" s="5"/>
      <c r="K68" s="5"/>
    </row>
    <row r="69" spans="2:11" ht="60.6" thickBot="1">
      <c r="B69" s="42" t="s">
        <v>827</v>
      </c>
      <c r="C69" s="76"/>
      <c r="D69" s="34" t="s">
        <v>1343</v>
      </c>
      <c r="E69" s="5"/>
      <c r="F69" s="5"/>
      <c r="G69" s="5"/>
      <c r="H69" s="5"/>
      <c r="I69" s="5"/>
      <c r="J69" s="5"/>
      <c r="K69" s="5"/>
    </row>
    <row r="70" spans="2:11">
      <c r="B70" s="2421" t="s">
        <v>829</v>
      </c>
      <c r="C70" s="72"/>
      <c r="D70" s="43" t="s">
        <v>830</v>
      </c>
      <c r="E70" s="5"/>
      <c r="F70" s="5"/>
      <c r="G70" s="5"/>
      <c r="H70" s="5"/>
      <c r="I70" s="5"/>
      <c r="J70" s="5"/>
      <c r="K70" s="5"/>
    </row>
    <row r="71" spans="2:11" ht="84">
      <c r="B71" s="2422"/>
      <c r="C71" s="72"/>
      <c r="D71" s="36" t="s">
        <v>1344</v>
      </c>
      <c r="E71" s="5"/>
      <c r="F71" s="5"/>
      <c r="G71" s="5"/>
      <c r="H71" s="5"/>
      <c r="I71" s="5"/>
      <c r="J71" s="5"/>
      <c r="K71" s="5"/>
    </row>
    <row r="72" spans="2:11">
      <c r="B72" s="2422"/>
      <c r="C72" s="72"/>
      <c r="D72" s="43" t="s">
        <v>833</v>
      </c>
      <c r="E72" s="5"/>
      <c r="F72" s="5"/>
      <c r="G72" s="5"/>
      <c r="H72" s="5"/>
      <c r="I72" s="5"/>
      <c r="J72" s="5"/>
      <c r="K72" s="5"/>
    </row>
    <row r="73" spans="2:11" ht="48">
      <c r="B73" s="2422"/>
      <c r="C73" s="72"/>
      <c r="D73" s="36" t="s">
        <v>1345</v>
      </c>
      <c r="E73" s="5"/>
      <c r="F73" s="5"/>
      <c r="G73" s="5"/>
      <c r="H73" s="5"/>
      <c r="I73" s="5"/>
      <c r="J73" s="5"/>
      <c r="K73" s="5"/>
    </row>
    <row r="74" spans="2:11">
      <c r="B74" s="2422"/>
      <c r="C74" s="72"/>
      <c r="D74" s="36" t="s">
        <v>835</v>
      </c>
      <c r="E74" s="5"/>
      <c r="F74" s="5"/>
      <c r="G74" s="5"/>
      <c r="H74" s="5"/>
      <c r="I74" s="5"/>
      <c r="J74" s="5"/>
      <c r="K74" s="5"/>
    </row>
    <row r="75" spans="2:11">
      <c r="B75" s="2422"/>
      <c r="C75" s="72"/>
      <c r="D75" s="36" t="s">
        <v>1346</v>
      </c>
      <c r="E75" s="5"/>
      <c r="F75" s="5"/>
      <c r="G75" s="5"/>
      <c r="H75" s="5"/>
      <c r="I75" s="5"/>
      <c r="J75" s="5"/>
      <c r="K75" s="5"/>
    </row>
    <row r="76" spans="2:11">
      <c r="B76" s="2422"/>
      <c r="C76" s="72"/>
      <c r="D76" s="36" t="s">
        <v>1347</v>
      </c>
      <c r="E76" s="5"/>
      <c r="F76" s="5"/>
      <c r="G76" s="5"/>
      <c r="H76" s="5"/>
      <c r="I76" s="5"/>
      <c r="J76" s="5"/>
      <c r="K76" s="5"/>
    </row>
    <row r="77" spans="2:11">
      <c r="B77" s="2422"/>
      <c r="C77" s="72"/>
      <c r="D77" s="43" t="s">
        <v>1085</v>
      </c>
      <c r="E77" s="5"/>
      <c r="F77" s="5"/>
      <c r="G77" s="5"/>
      <c r="H77" s="5"/>
      <c r="I77" s="5"/>
      <c r="J77" s="5"/>
      <c r="K77" s="5"/>
    </row>
    <row r="78" spans="2:11" ht="24.6" thickBot="1">
      <c r="B78" s="2423"/>
      <c r="C78" s="2"/>
      <c r="D78" s="32" t="s">
        <v>1305</v>
      </c>
      <c r="E78" s="5"/>
      <c r="F78" s="5"/>
      <c r="G78" s="5"/>
      <c r="H78" s="5"/>
      <c r="I78" s="5"/>
      <c r="J78" s="5"/>
      <c r="K78" s="5"/>
    </row>
    <row r="79" spans="2:11" ht="24.6" thickBot="1">
      <c r="B79" s="37" t="s">
        <v>842</v>
      </c>
      <c r="C79" s="2"/>
      <c r="D79" s="32"/>
      <c r="E79" s="5"/>
      <c r="F79" s="5"/>
      <c r="G79" s="5"/>
      <c r="H79" s="5"/>
      <c r="I79" s="5"/>
      <c r="J79" s="5"/>
      <c r="K79" s="5"/>
    </row>
    <row r="80" spans="2:11" ht="36">
      <c r="B80" s="2421" t="s">
        <v>843</v>
      </c>
      <c r="C80" s="72"/>
      <c r="D80" s="36" t="s">
        <v>1348</v>
      </c>
      <c r="E80" s="5"/>
      <c r="F80" s="5"/>
      <c r="G80" s="5"/>
      <c r="H80" s="5"/>
      <c r="I80" s="5"/>
      <c r="J80" s="5"/>
      <c r="K80" s="5"/>
    </row>
    <row r="81" spans="2:11" ht="48">
      <c r="B81" s="2422"/>
      <c r="C81" s="72"/>
      <c r="D81" s="21" t="s">
        <v>1349</v>
      </c>
      <c r="E81" s="5"/>
      <c r="F81" s="5"/>
      <c r="G81" s="5"/>
      <c r="H81" s="5"/>
      <c r="I81" s="5"/>
      <c r="J81" s="5"/>
      <c r="K81" s="5"/>
    </row>
    <row r="82" spans="2:11" ht="24">
      <c r="B82" s="2422"/>
      <c r="C82" s="72"/>
      <c r="D82" s="21" t="s">
        <v>1350</v>
      </c>
      <c r="E82" s="5"/>
      <c r="F82" s="5"/>
      <c r="G82" s="5"/>
      <c r="H82" s="5"/>
      <c r="I82" s="5"/>
      <c r="J82" s="5"/>
      <c r="K82" s="5"/>
    </row>
    <row r="83" spans="2:11" ht="36">
      <c r="B83" s="2422"/>
      <c r="C83" s="72"/>
      <c r="D83" s="21" t="s">
        <v>1351</v>
      </c>
      <c r="E83" s="5"/>
      <c r="F83" s="5"/>
      <c r="G83" s="5"/>
      <c r="H83" s="5"/>
      <c r="I83" s="5"/>
      <c r="J83" s="5"/>
      <c r="K83" s="5"/>
    </row>
    <row r="84" spans="2:11" ht="24">
      <c r="B84" s="2422"/>
      <c r="C84" s="72"/>
      <c r="D84" s="21" t="s">
        <v>1352</v>
      </c>
      <c r="E84" s="5"/>
      <c r="F84" s="5"/>
      <c r="G84" s="5"/>
      <c r="H84" s="5"/>
      <c r="I84" s="5"/>
      <c r="J84" s="5"/>
      <c r="K84" s="5"/>
    </row>
    <row r="85" spans="2:11" ht="72">
      <c r="B85" s="2422"/>
      <c r="C85" s="72"/>
      <c r="D85" s="36" t="s">
        <v>1353</v>
      </c>
      <c r="E85" s="5"/>
      <c r="F85" s="5"/>
      <c r="G85" s="5"/>
      <c r="H85" s="5"/>
      <c r="I85" s="5"/>
      <c r="J85" s="5"/>
      <c r="K85" s="5"/>
    </row>
    <row r="86" spans="2:11" ht="36">
      <c r="B86" s="2422"/>
      <c r="C86" s="72"/>
      <c r="D86" s="36" t="s">
        <v>1354</v>
      </c>
      <c r="E86" s="5"/>
      <c r="F86" s="5"/>
      <c r="G86" s="5"/>
      <c r="H86" s="5"/>
      <c r="I86" s="5"/>
      <c r="J86" s="5"/>
      <c r="K86" s="5"/>
    </row>
    <row r="87" spans="2:11" ht="24">
      <c r="B87" s="2422"/>
      <c r="C87" s="72"/>
      <c r="D87" s="36" t="s">
        <v>1355</v>
      </c>
      <c r="E87" s="5"/>
      <c r="F87" s="5"/>
      <c r="G87" s="5"/>
      <c r="H87" s="5"/>
      <c r="I87" s="5"/>
      <c r="J87" s="5"/>
      <c r="K87" s="5"/>
    </row>
    <row r="88" spans="2:11" ht="24">
      <c r="B88" s="2422"/>
      <c r="C88" s="72"/>
      <c r="D88" s="36" t="s">
        <v>1356</v>
      </c>
      <c r="E88" s="5"/>
      <c r="F88" s="5"/>
      <c r="G88" s="5"/>
      <c r="H88" s="5"/>
      <c r="I88" s="5"/>
      <c r="J88" s="5"/>
      <c r="K88" s="5"/>
    </row>
    <row r="89" spans="2:11" ht="72.599999999999994" thickBot="1">
      <c r="B89" s="2423"/>
      <c r="C89" s="2"/>
      <c r="D89" s="32" t="s">
        <v>1357</v>
      </c>
      <c r="E89" s="5"/>
      <c r="F89" s="5"/>
      <c r="G89" s="5"/>
      <c r="H89" s="5"/>
      <c r="I89" s="5"/>
      <c r="J89" s="5"/>
      <c r="K89" s="5"/>
    </row>
    <row r="90" spans="2:11" ht="24">
      <c r="B90" s="2421" t="s">
        <v>860</v>
      </c>
      <c r="C90" s="72"/>
      <c r="D90" s="43" t="s">
        <v>1358</v>
      </c>
      <c r="E90" s="5"/>
      <c r="F90" s="5"/>
      <c r="G90" s="5"/>
      <c r="H90" s="5"/>
      <c r="I90" s="5"/>
      <c r="J90" s="5"/>
      <c r="K90" s="5"/>
    </row>
    <row r="91" spans="2:11">
      <c r="B91" s="2422"/>
      <c r="C91" s="72"/>
      <c r="D91" s="36" t="s">
        <v>1359</v>
      </c>
      <c r="E91" s="5"/>
      <c r="F91" s="5"/>
      <c r="G91" s="5"/>
      <c r="H91" s="5"/>
      <c r="I91" s="5"/>
      <c r="J91" s="5"/>
      <c r="K91" s="5"/>
    </row>
    <row r="92" spans="2:11">
      <c r="B92" s="2422"/>
      <c r="C92" s="72"/>
      <c r="D92" s="36" t="s">
        <v>861</v>
      </c>
      <c r="E92" s="5"/>
      <c r="F92" s="5"/>
      <c r="G92" s="5"/>
      <c r="H92" s="5"/>
      <c r="I92" s="5"/>
      <c r="J92" s="5"/>
      <c r="K92" s="5"/>
    </row>
    <row r="93" spans="2:11" ht="38.4">
      <c r="B93" s="2422"/>
      <c r="C93" s="72"/>
      <c r="D93" s="36" t="s">
        <v>1360</v>
      </c>
      <c r="E93" s="5"/>
      <c r="F93" s="5"/>
      <c r="G93" s="5"/>
      <c r="H93" s="5"/>
      <c r="I93" s="5"/>
      <c r="J93" s="5"/>
      <c r="K93" s="5"/>
    </row>
    <row r="94" spans="2:11" ht="26.4">
      <c r="B94" s="2422"/>
      <c r="C94" s="72"/>
      <c r="D94" s="36" t="s">
        <v>1361</v>
      </c>
      <c r="E94" s="5"/>
      <c r="F94" s="5"/>
      <c r="G94" s="5"/>
      <c r="H94" s="5"/>
      <c r="I94" s="5"/>
      <c r="J94" s="5"/>
      <c r="K94" s="5"/>
    </row>
    <row r="95" spans="2:11" ht="26.4">
      <c r="B95" s="2422"/>
      <c r="C95" s="72"/>
      <c r="D95" s="36" t="s">
        <v>1362</v>
      </c>
      <c r="E95" s="5"/>
      <c r="F95" s="5"/>
      <c r="G95" s="5"/>
      <c r="H95" s="5"/>
      <c r="I95" s="5"/>
      <c r="J95" s="5"/>
      <c r="K95" s="5"/>
    </row>
    <row r="96" spans="2:11">
      <c r="B96" s="2422"/>
      <c r="C96" s="72"/>
      <c r="D96" s="43" t="s">
        <v>1021</v>
      </c>
      <c r="E96" s="5"/>
      <c r="F96" s="5"/>
      <c r="G96" s="5"/>
      <c r="H96" s="5"/>
      <c r="I96" s="5"/>
      <c r="J96" s="5"/>
      <c r="K96" s="5"/>
    </row>
    <row r="97" spans="2:11" ht="24">
      <c r="B97" s="2422"/>
      <c r="C97" s="72"/>
      <c r="D97" s="43" t="s">
        <v>1363</v>
      </c>
      <c r="E97" s="5"/>
      <c r="F97" s="5"/>
      <c r="G97" s="5"/>
      <c r="H97" s="5"/>
      <c r="I97" s="5"/>
      <c r="J97" s="5"/>
      <c r="K97" s="5"/>
    </row>
    <row r="98" spans="2:11">
      <c r="B98" s="2422"/>
      <c r="C98" s="72"/>
      <c r="D98" s="13"/>
      <c r="E98" s="5"/>
      <c r="F98" s="5"/>
      <c r="G98" s="5"/>
      <c r="H98" s="5"/>
      <c r="I98" s="5"/>
      <c r="J98" s="5"/>
      <c r="K98" s="5"/>
    </row>
    <row r="99" spans="2:11">
      <c r="B99" s="2422"/>
      <c r="C99" s="72"/>
      <c r="D99" s="36" t="s">
        <v>861</v>
      </c>
      <c r="E99" s="5"/>
      <c r="F99" s="5"/>
      <c r="G99" s="5"/>
      <c r="H99" s="5"/>
      <c r="I99" s="5"/>
      <c r="J99" s="5"/>
      <c r="K99" s="5"/>
    </row>
    <row r="100" spans="2:11" ht="38.4">
      <c r="B100" s="2422"/>
      <c r="C100" s="72"/>
      <c r="D100" s="36" t="s">
        <v>1364</v>
      </c>
      <c r="E100" s="5"/>
      <c r="F100" s="5"/>
      <c r="G100" s="5"/>
      <c r="H100" s="5"/>
      <c r="I100" s="5"/>
      <c r="J100" s="5"/>
      <c r="K100" s="5"/>
    </row>
    <row r="101" spans="2:11" ht="39" thickBot="1">
      <c r="B101" s="2423"/>
      <c r="C101" s="2"/>
      <c r="D101" s="32" t="s">
        <v>1365</v>
      </c>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sheetData>
  <mergeCells count="61">
    <mergeCell ref="Q15:Q18"/>
    <mergeCell ref="K17:M17"/>
    <mergeCell ref="N17:P17"/>
    <mergeCell ref="C31:C34"/>
    <mergeCell ref="D31:D32"/>
    <mergeCell ref="D33:D34"/>
    <mergeCell ref="H31:H32"/>
    <mergeCell ref="I31:I32"/>
    <mergeCell ref="E31:E32"/>
    <mergeCell ref="E33:E34"/>
    <mergeCell ref="F31:F32"/>
    <mergeCell ref="F33:F34"/>
    <mergeCell ref="G31:G32"/>
    <mergeCell ref="G33:G34"/>
    <mergeCell ref="K29:K30"/>
    <mergeCell ref="B10:D10"/>
    <mergeCell ref="F10:S10"/>
    <mergeCell ref="F11:S11"/>
    <mergeCell ref="E12:R12"/>
    <mergeCell ref="E13:R13"/>
    <mergeCell ref="B90:B101"/>
    <mergeCell ref="D16:D18"/>
    <mergeCell ref="E16:J16"/>
    <mergeCell ref="E17:G17"/>
    <mergeCell ref="H17:J17"/>
    <mergeCell ref="B15:B35"/>
    <mergeCell ref="D15:P15"/>
    <mergeCell ref="D23:P23"/>
    <mergeCell ref="D24:P24"/>
    <mergeCell ref="D25:P25"/>
    <mergeCell ref="D26:P26"/>
    <mergeCell ref="K16:P16"/>
    <mergeCell ref="B58:F58"/>
    <mergeCell ref="D36:P36"/>
    <mergeCell ref="B63:G63"/>
    <mergeCell ref="B64:G64"/>
    <mergeCell ref="B70:B78"/>
    <mergeCell ref="B80:B89"/>
    <mergeCell ref="B65:G65"/>
    <mergeCell ref="B40:B46"/>
    <mergeCell ref="B48:E48"/>
    <mergeCell ref="B49:B55"/>
    <mergeCell ref="D37:P37"/>
    <mergeCell ref="B39:E39"/>
    <mergeCell ref="D27:P27"/>
    <mergeCell ref="D28:P28"/>
    <mergeCell ref="C29:C30"/>
    <mergeCell ref="D29:D30"/>
    <mergeCell ref="J31:J32"/>
    <mergeCell ref="K31:K32"/>
    <mergeCell ref="E29:E30"/>
    <mergeCell ref="F29:F30"/>
    <mergeCell ref="G29:G30"/>
    <mergeCell ref="J29:J30"/>
    <mergeCell ref="L29:L30"/>
    <mergeCell ref="L31:L32"/>
    <mergeCell ref="A1:P1"/>
    <mergeCell ref="A2:P2"/>
    <mergeCell ref="A3:P3"/>
    <mergeCell ref="A4:D4"/>
    <mergeCell ref="A5:P5"/>
  </mergeCells>
  <conditionalFormatting sqref="E12:R12">
    <cfRule type="expression" dxfId="75" priority="1">
      <formula>E11="SI SE REPORTA"</formula>
    </cfRule>
  </conditionalFormatting>
  <conditionalFormatting sqref="F10">
    <cfRule type="notContainsBlanks" dxfId="74" priority="4">
      <formula>LEN(TRIM(F10))&gt;0</formula>
    </cfRule>
  </conditionalFormatting>
  <conditionalFormatting sqref="F11:S11">
    <cfRule type="expression" dxfId="73" priority="2">
      <formula>E11="NO SE REPORTA"</formula>
    </cfRule>
    <cfRule type="expression" dxfId="72"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P21" xr:uid="{00000000-0002-0000-1100-000000000000}">
      <formula1>0</formula1>
    </dataValidation>
    <dataValidation type="list" allowBlank="1" showInputMessage="1" showErrorMessage="1" sqref="E11" xr:uid="{00000000-0002-0000-1100-000002000000}">
      <formula1>REPORTE</formula1>
    </dataValidation>
    <dataValidation type="list" allowBlank="1" showInputMessage="1" showErrorMessage="1" sqref="E10" xr:uid="{00000000-0002-0000-1100-000003000000}">
      <formula1>SI</formula1>
    </dataValidation>
    <dataValidation type="whole" operator="greaterThanOrEqual" allowBlank="1" showInputMessage="1" showErrorMessage="1" errorTitle="ERROR" error="Valor en PESOS (sin centavos)" sqref="H33:K33 H31:K31" xr:uid="{00000000-0002-0000-1100-000001000000}">
      <formula1>0</formula1>
    </dataValidation>
  </dataValidations>
  <hyperlinks>
    <hyperlink ref="B9" location="'ANEXO 3'!A1" display="VOLVER AL INDICE" xr:uid="{00000000-0004-0000-1100-000000000000}"/>
    <hyperlink ref="E44" r:id="rId1" xr:uid="{00000000-0004-0000-1100-000001000000}"/>
  </hyperlinks>
  <pageMargins left="0.25" right="0.25" top="0.75" bottom="0.75" header="0.3" footer="0.3"/>
  <pageSetup paperSize="178" orientation="landscape"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dimension ref="A1:U173"/>
  <sheetViews>
    <sheetView topLeftCell="A32" zoomScale="87" zoomScaleNormal="87" workbookViewId="0">
      <selection activeCell="G29" sqref="G29"/>
    </sheetView>
  </sheetViews>
  <sheetFormatPr baseColWidth="10" defaultColWidth="11.44140625" defaultRowHeight="14.4"/>
  <cols>
    <col min="1" max="1" width="1.88671875" customWidth="1"/>
    <col min="2" max="2" width="12.88671875" customWidth="1"/>
    <col min="3" max="3" width="6.6640625" style="65" customWidth="1"/>
    <col min="4" max="4" width="34.88671875" customWidth="1"/>
    <col min="5" max="5" width="17.5546875" customWidth="1"/>
    <col min="6" max="6" width="10.44140625" customWidth="1"/>
    <col min="7" max="7" width="13.33203125" customWidth="1"/>
    <col min="8" max="8" width="14.5546875" customWidth="1"/>
    <col min="9" max="9" width="14.33203125" customWidth="1"/>
    <col min="10" max="10" width="13.88671875" customWidth="1"/>
    <col min="11" max="11" width="14.44140625" bestFit="1" customWidth="1"/>
    <col min="12" max="12" width="72.886718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23</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539">
        <v>2025</v>
      </c>
      <c r="D8" s="164">
        <f>IF(E10="NO APLICA","NO APLICA",IF(E11="NO SE REPORTA","SIN INFORMACION",+K21))</f>
        <v>1</v>
      </c>
      <c r="E8" s="161"/>
      <c r="F8" s="5" t="s">
        <v>740</v>
      </c>
      <c r="G8" s="5"/>
      <c r="H8" s="5"/>
      <c r="I8" s="5"/>
      <c r="J8" s="5"/>
      <c r="K8" s="5"/>
    </row>
    <row r="9" spans="1:21">
      <c r="B9" s="290" t="s">
        <v>741</v>
      </c>
      <c r="C9" s="66"/>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85.5" customHeight="1">
      <c r="B12" s="290"/>
      <c r="C12" s="66"/>
      <c r="D12" s="141" t="str">
        <f>IF(E11="SI SE REPORTA","¿Qué programas o proyectos del Plan de Acción están asociados al indicador? ","")</f>
        <v xml:space="preserve">¿Qué programas o proyectos del Plan de Acción están asociados al indicador? </v>
      </c>
      <c r="E12" s="2547" t="s">
        <v>1366</v>
      </c>
      <c r="F12" s="2547"/>
      <c r="G12" s="2547"/>
      <c r="H12" s="2547"/>
      <c r="I12" s="2547"/>
      <c r="J12" s="2547"/>
      <c r="K12" s="2547"/>
      <c r="L12" s="2547"/>
      <c r="M12" s="2547"/>
      <c r="N12" s="2547"/>
      <c r="O12" s="2547"/>
      <c r="P12" s="2547"/>
      <c r="Q12" s="2547"/>
      <c r="R12" s="2547"/>
    </row>
    <row r="13" spans="1:21" ht="151.35" customHeight="1">
      <c r="B13" s="290"/>
      <c r="C13" s="66"/>
      <c r="D13" s="141" t="s">
        <v>746</v>
      </c>
      <c r="E13" s="2501" t="s">
        <v>1367</v>
      </c>
      <c r="F13" s="2502"/>
      <c r="G13" s="2502"/>
      <c r="H13" s="2502"/>
      <c r="I13" s="2502"/>
      <c r="J13" s="2502"/>
      <c r="K13" s="2502"/>
      <c r="L13" s="2502"/>
      <c r="M13" s="2502"/>
      <c r="N13" s="2502"/>
      <c r="O13" s="2502"/>
      <c r="P13" s="2502"/>
      <c r="Q13" s="2502"/>
      <c r="R13" s="2503"/>
    </row>
    <row r="14" spans="1:21" ht="6.9" customHeight="1" thickBot="1">
      <c r="B14" s="290"/>
      <c r="C14" s="66"/>
      <c r="D14" s="5"/>
      <c r="E14" s="5"/>
      <c r="F14" s="5"/>
      <c r="G14" s="5"/>
      <c r="H14" s="5"/>
      <c r="I14" s="5"/>
      <c r="J14" s="5"/>
      <c r="K14" s="5"/>
    </row>
    <row r="15" spans="1:21" ht="15" thickBot="1">
      <c r="B15" s="2631" t="s">
        <v>747</v>
      </c>
      <c r="C15" s="80"/>
      <c r="D15" s="2412" t="s">
        <v>1103</v>
      </c>
      <c r="E15" s="2413"/>
      <c r="F15" s="2413"/>
      <c r="G15" s="2413"/>
      <c r="H15" s="2413"/>
      <c r="I15" s="2413"/>
      <c r="J15" s="2413"/>
      <c r="K15" s="2413"/>
      <c r="L15" s="2615"/>
    </row>
    <row r="16" spans="1:21" ht="15" thickBot="1">
      <c r="B16" s="2632"/>
      <c r="C16" s="86"/>
      <c r="D16" s="2414"/>
      <c r="E16" s="2660" t="s">
        <v>1368</v>
      </c>
      <c r="F16" s="2661"/>
      <c r="G16" s="2662"/>
      <c r="H16" s="2660" t="s">
        <v>1369</v>
      </c>
      <c r="I16" s="2661"/>
      <c r="J16" s="2662"/>
      <c r="K16" s="2458" t="s">
        <v>1284</v>
      </c>
      <c r="L16" s="10"/>
    </row>
    <row r="17" spans="2:12" ht="15" thickBot="1">
      <c r="B17" s="2632"/>
      <c r="C17" s="86"/>
      <c r="D17" s="2436"/>
      <c r="E17" s="716" t="s">
        <v>1319</v>
      </c>
      <c r="F17" s="716" t="s">
        <v>1320</v>
      </c>
      <c r="G17" s="716" t="s">
        <v>1370</v>
      </c>
      <c r="H17" s="716" t="s">
        <v>1319</v>
      </c>
      <c r="I17" s="716" t="s">
        <v>1320</v>
      </c>
      <c r="J17" s="716" t="s">
        <v>1370</v>
      </c>
      <c r="K17" s="2460"/>
      <c r="L17" s="10"/>
    </row>
    <row r="18" spans="2:12" ht="33" customHeight="1" thickBot="1">
      <c r="B18" s="2632"/>
      <c r="C18" s="86"/>
      <c r="D18" s="32" t="s">
        <v>1371</v>
      </c>
      <c r="E18" s="494"/>
      <c r="F18" s="494">
        <v>1</v>
      </c>
      <c r="G18" s="501"/>
      <c r="H18" s="494"/>
      <c r="I18" s="494"/>
      <c r="J18" s="501"/>
      <c r="K18" s="709">
        <v>1</v>
      </c>
      <c r="L18" s="546"/>
    </row>
    <row r="19" spans="2:12" ht="24.6" thickBot="1">
      <c r="B19" s="2632"/>
      <c r="C19" s="86"/>
      <c r="D19" s="514" t="s">
        <v>1372</v>
      </c>
      <c r="E19" s="494"/>
      <c r="F19" s="494">
        <v>1</v>
      </c>
      <c r="G19" s="501"/>
      <c r="H19" s="494"/>
      <c r="I19" s="494"/>
      <c r="J19" s="501"/>
      <c r="K19" s="501">
        <v>1</v>
      </c>
      <c r="L19" s="531"/>
    </row>
    <row r="20" spans="2:12" ht="24.6" thickBot="1">
      <c r="B20" s="2632"/>
      <c r="C20" s="86"/>
      <c r="D20" s="514" t="s">
        <v>1373</v>
      </c>
      <c r="E20" s="494"/>
      <c r="F20" s="494">
        <v>1</v>
      </c>
      <c r="G20" s="501"/>
      <c r="H20" s="494"/>
      <c r="I20" s="494"/>
      <c r="J20" s="501"/>
      <c r="K20" s="501">
        <v>1</v>
      </c>
      <c r="L20" s="10"/>
    </row>
    <row r="21" spans="2:12" ht="24.6" thickBot="1">
      <c r="B21" s="2632"/>
      <c r="C21" s="86"/>
      <c r="D21" s="32" t="s">
        <v>23</v>
      </c>
      <c r="E21" s="475" t="str">
        <f>IFERROR(E20/E19,"N.A.")</f>
        <v>N.A.</v>
      </c>
      <c r="F21" s="475">
        <f t="shared" ref="F21:K21" si="0">IFERROR(F20/F19,"N.A.")</f>
        <v>1</v>
      </c>
      <c r="G21" s="475" t="str">
        <f t="shared" si="0"/>
        <v>N.A.</v>
      </c>
      <c r="H21" s="475" t="str">
        <f t="shared" si="0"/>
        <v>N.A.</v>
      </c>
      <c r="I21" s="475" t="str">
        <f t="shared" si="0"/>
        <v>N.A.</v>
      </c>
      <c r="J21" s="118" t="str">
        <f t="shared" si="0"/>
        <v>N.A.</v>
      </c>
      <c r="K21" s="118">
        <f t="shared" si="0"/>
        <v>1</v>
      </c>
      <c r="L21" s="10"/>
    </row>
    <row r="22" spans="2:12">
      <c r="B22" s="2632"/>
      <c r="C22" s="81"/>
      <c r="D22" s="2403"/>
      <c r="E22" s="2404"/>
      <c r="F22" s="2404"/>
      <c r="G22" s="2404"/>
      <c r="H22" s="2404"/>
      <c r="I22" s="2404"/>
      <c r="J22" s="2404"/>
      <c r="K22" s="2404"/>
      <c r="L22" s="2598"/>
    </row>
    <row r="23" spans="2:12">
      <c r="B23" s="2632"/>
      <c r="C23" s="81"/>
      <c r="D23" s="2415" t="s">
        <v>1021</v>
      </c>
      <c r="E23" s="2416"/>
      <c r="F23" s="2416"/>
      <c r="G23" s="2416"/>
      <c r="H23" s="2416"/>
      <c r="I23" s="2416"/>
      <c r="J23" s="2416"/>
      <c r="K23" s="2416"/>
      <c r="L23" s="2599"/>
    </row>
    <row r="24" spans="2:12">
      <c r="B24" s="2632"/>
      <c r="C24" s="81"/>
      <c r="D24" s="2415" t="s">
        <v>1374</v>
      </c>
      <c r="E24" s="2416"/>
      <c r="F24" s="2416"/>
      <c r="G24" s="2416"/>
      <c r="H24" s="2416"/>
      <c r="I24" s="2416"/>
      <c r="J24" s="2416"/>
      <c r="K24" s="2416"/>
      <c r="L24" s="2599"/>
    </row>
    <row r="25" spans="2:12" ht="15" thickBot="1">
      <c r="B25" s="2632"/>
      <c r="C25" s="81"/>
      <c r="D25" s="2434" t="s">
        <v>1110</v>
      </c>
      <c r="E25" s="2435"/>
      <c r="F25" s="2435"/>
      <c r="G25" s="2435"/>
      <c r="H25" s="2435"/>
      <c r="I25" s="2435"/>
      <c r="J25" s="2435"/>
      <c r="K25" s="2435"/>
      <c r="L25" s="2600"/>
    </row>
    <row r="26" spans="2:12" ht="21" customHeight="1">
      <c r="B26" s="2632"/>
      <c r="C26" s="2549" t="s">
        <v>698</v>
      </c>
      <c r="D26" s="2654" t="s">
        <v>1023</v>
      </c>
      <c r="E26" s="2656" t="s">
        <v>1331</v>
      </c>
      <c r="F26" s="2656" t="s">
        <v>1332</v>
      </c>
      <c r="G26" s="2656" t="s">
        <v>1333</v>
      </c>
      <c r="H26" s="934" t="s">
        <v>1291</v>
      </c>
      <c r="I26" s="934" t="s">
        <v>1292</v>
      </c>
      <c r="J26" s="2658" t="s">
        <v>1027</v>
      </c>
      <c r="K26" s="2658" t="s">
        <v>1028</v>
      </c>
      <c r="L26" s="2658" t="s">
        <v>702</v>
      </c>
    </row>
    <row r="27" spans="2:12" ht="15" thickBot="1">
      <c r="B27" s="2632"/>
      <c r="C27" s="2550"/>
      <c r="D27" s="2655"/>
      <c r="E27" s="2657"/>
      <c r="F27" s="2657"/>
      <c r="G27" s="2657"/>
      <c r="H27" s="935" t="s">
        <v>1293</v>
      </c>
      <c r="I27" s="935" t="s">
        <v>1294</v>
      </c>
      <c r="J27" s="2659"/>
      <c r="K27" s="2659"/>
      <c r="L27" s="2663"/>
    </row>
    <row r="28" spans="2:12" ht="42" customHeight="1" thickBot="1">
      <c r="B28" s="2632"/>
      <c r="C28" s="216"/>
      <c r="D28" s="928" t="s">
        <v>598</v>
      </c>
      <c r="E28" s="929"/>
      <c r="F28" s="928"/>
      <c r="G28" s="930"/>
      <c r="H28" s="931"/>
      <c r="I28" s="931"/>
      <c r="J28" s="931"/>
      <c r="K28" s="932"/>
      <c r="L28" s="933" t="s">
        <v>2073</v>
      </c>
    </row>
    <row r="29" spans="2:12" ht="98.25" customHeight="1" thickBot="1">
      <c r="B29" s="2632"/>
      <c r="C29" s="216"/>
      <c r="D29" s="491" t="s">
        <v>1376</v>
      </c>
      <c r="E29" s="502" t="s">
        <v>1375</v>
      </c>
      <c r="F29" s="801" t="s">
        <v>1320</v>
      </c>
      <c r="G29" s="512" t="s">
        <v>2065</v>
      </c>
      <c r="H29" s="676">
        <v>427500000</v>
      </c>
      <c r="I29" s="676">
        <v>427500000</v>
      </c>
      <c r="J29" s="676">
        <v>427500000</v>
      </c>
      <c r="K29" s="783">
        <v>354288567</v>
      </c>
      <c r="L29" s="800" t="s">
        <v>2072</v>
      </c>
    </row>
    <row r="30" spans="2:12" s="306" customFormat="1" ht="29.25" customHeight="1" thickBot="1">
      <c r="B30" s="2633"/>
      <c r="C30" s="153"/>
      <c r="D30" s="543"/>
      <c r="E30" s="527" t="s">
        <v>905</v>
      </c>
      <c r="F30" s="543"/>
      <c r="G30" s="543"/>
      <c r="H30" s="682">
        <f>SUM(H28:H29)</f>
        <v>427500000</v>
      </c>
      <c r="I30" s="682">
        <f>SUM(I28:I29)</f>
        <v>427500000</v>
      </c>
      <c r="J30" s="682">
        <f>SUM(J28:J29)</f>
        <v>427500000</v>
      </c>
      <c r="K30" s="682">
        <f>SUM(K28:K29)</f>
        <v>354288567</v>
      </c>
      <c r="L30" s="495"/>
    </row>
    <row r="31" spans="2:12" ht="36" customHeight="1" thickBot="1">
      <c r="B31" s="60" t="s">
        <v>803</v>
      </c>
      <c r="C31" s="85"/>
      <c r="D31" s="2424" t="s">
        <v>1377</v>
      </c>
      <c r="E31" s="2425"/>
      <c r="F31" s="2425"/>
      <c r="G31" s="2425"/>
      <c r="H31" s="2425"/>
      <c r="I31" s="2425"/>
      <c r="J31" s="2425"/>
      <c r="K31" s="2425"/>
      <c r="L31" s="2597"/>
    </row>
    <row r="32" spans="2:12" ht="24" customHeight="1" thickBot="1">
      <c r="B32" s="60" t="s">
        <v>805</v>
      </c>
      <c r="C32" s="85"/>
      <c r="D32" s="2424" t="s">
        <v>1378</v>
      </c>
      <c r="E32" s="2425"/>
      <c r="F32" s="2425"/>
      <c r="G32" s="2425"/>
      <c r="H32" s="2425"/>
      <c r="I32" s="2425"/>
      <c r="J32" s="2425"/>
      <c r="K32" s="2425"/>
      <c r="L32" s="2597"/>
    </row>
    <row r="33" spans="2:11" ht="15" thickBot="1">
      <c r="B33" s="1"/>
      <c r="C33" s="63"/>
      <c r="D33" s="5"/>
      <c r="E33" s="5"/>
      <c r="F33" s="5"/>
      <c r="G33" s="5"/>
      <c r="H33" s="5"/>
      <c r="I33" s="5"/>
      <c r="J33" s="5"/>
      <c r="K33" s="5"/>
    </row>
    <row r="34" spans="2:11" ht="24" customHeight="1" thickBot="1">
      <c r="B34" s="2431" t="s">
        <v>807</v>
      </c>
      <c r="C34" s="2432"/>
      <c r="D34" s="2432"/>
      <c r="E34" s="2433"/>
      <c r="F34" s="5"/>
      <c r="G34" s="5"/>
      <c r="H34" s="5"/>
      <c r="I34" s="5"/>
      <c r="J34" s="5"/>
      <c r="K34" s="5"/>
    </row>
    <row r="35" spans="2:11" ht="15" thickBot="1">
      <c r="B35" s="2421">
        <v>1</v>
      </c>
      <c r="C35" s="72"/>
      <c r="D35" s="38" t="s">
        <v>808</v>
      </c>
      <c r="E35" s="25" t="s">
        <v>809</v>
      </c>
      <c r="F35" s="5"/>
      <c r="G35" s="5"/>
      <c r="H35" s="5"/>
      <c r="I35" s="5"/>
      <c r="J35" s="5"/>
      <c r="K35" s="5"/>
    </row>
    <row r="36" spans="2:11" ht="24.6" thickBot="1">
      <c r="B36" s="2422"/>
      <c r="C36" s="72"/>
      <c r="D36" s="32" t="s">
        <v>528</v>
      </c>
      <c r="E36" s="24" t="s">
        <v>941</v>
      </c>
      <c r="F36" s="5"/>
      <c r="G36" s="5"/>
      <c r="H36" s="5"/>
      <c r="I36" s="5"/>
      <c r="J36" s="5"/>
      <c r="K36" s="5"/>
    </row>
    <row r="37" spans="2:11" ht="15" thickBot="1">
      <c r="B37" s="2422"/>
      <c r="C37" s="72"/>
      <c r="D37" s="32" t="s">
        <v>811</v>
      </c>
      <c r="E37" s="24" t="s">
        <v>985</v>
      </c>
      <c r="F37" s="5"/>
      <c r="G37" s="5"/>
      <c r="H37" s="5"/>
      <c r="I37" s="5"/>
      <c r="J37" s="5"/>
      <c r="K37" s="5"/>
    </row>
    <row r="38" spans="2:11" ht="15" thickBot="1">
      <c r="B38" s="2422"/>
      <c r="C38" s="72"/>
      <c r="D38" s="32" t="s">
        <v>531</v>
      </c>
      <c r="E38" s="24" t="s">
        <v>986</v>
      </c>
      <c r="F38" s="5"/>
      <c r="G38" s="5"/>
      <c r="H38" s="5"/>
      <c r="I38" s="5"/>
      <c r="J38" s="5"/>
      <c r="K38" s="5"/>
    </row>
    <row r="39" spans="2:11" ht="29.4" thickBot="1">
      <c r="B39" s="2422"/>
      <c r="C39" s="72"/>
      <c r="D39" s="32" t="s">
        <v>534</v>
      </c>
      <c r="E39" s="490" t="s">
        <v>944</v>
      </c>
      <c r="F39" s="5"/>
      <c r="G39" s="5"/>
      <c r="H39" s="5"/>
      <c r="I39" s="5"/>
      <c r="J39" s="5"/>
      <c r="K39" s="5"/>
    </row>
    <row r="40" spans="2:11" ht="15" thickBot="1">
      <c r="B40" s="2422"/>
      <c r="C40" s="72"/>
      <c r="D40" s="32" t="s">
        <v>537</v>
      </c>
      <c r="E40" s="24" t="s">
        <v>945</v>
      </c>
      <c r="F40" s="5"/>
      <c r="G40" s="5"/>
      <c r="H40" s="5"/>
      <c r="I40" s="5"/>
      <c r="J40" s="5"/>
      <c r="K40" s="5"/>
    </row>
    <row r="41" spans="2:11" ht="24.6" thickBot="1">
      <c r="B41" s="2423"/>
      <c r="C41" s="2"/>
      <c r="D41" s="32" t="s">
        <v>815</v>
      </c>
      <c r="E41" s="24" t="s">
        <v>816</v>
      </c>
      <c r="F41" s="5"/>
      <c r="G41" s="5"/>
      <c r="H41" s="5"/>
      <c r="I41" s="5"/>
      <c r="J41" s="5"/>
      <c r="K41" s="5"/>
    </row>
    <row r="42" spans="2:11" ht="15" thickBot="1">
      <c r="B42" s="1"/>
      <c r="C42" s="63"/>
      <c r="D42" s="5"/>
      <c r="E42" s="5"/>
      <c r="F42" s="5"/>
      <c r="G42" s="5"/>
      <c r="H42" s="5"/>
      <c r="I42" s="5"/>
      <c r="J42" s="5"/>
      <c r="K42" s="5"/>
    </row>
    <row r="43" spans="2:11" ht="15" thickBot="1">
      <c r="B43" s="2431" t="s">
        <v>817</v>
      </c>
      <c r="C43" s="2432"/>
      <c r="D43" s="2432"/>
      <c r="E43" s="2433"/>
      <c r="F43" s="5"/>
      <c r="G43" s="5"/>
      <c r="H43" s="5"/>
      <c r="I43" s="5"/>
      <c r="J43" s="5"/>
      <c r="K43" s="5"/>
    </row>
    <row r="44" spans="2:11" ht="15" thickBot="1">
      <c r="B44" s="2421">
        <v>1</v>
      </c>
      <c r="C44" s="72"/>
      <c r="D44" s="38" t="s">
        <v>808</v>
      </c>
      <c r="E44" s="170" t="s">
        <v>818</v>
      </c>
      <c r="F44" s="5"/>
      <c r="G44" s="5"/>
      <c r="H44" s="5"/>
      <c r="I44" s="5"/>
      <c r="J44" s="5"/>
      <c r="K44" s="5"/>
    </row>
    <row r="45" spans="2:11" ht="15" thickBot="1">
      <c r="B45" s="2422"/>
      <c r="C45" s="72"/>
      <c r="D45" s="32" t="s">
        <v>528</v>
      </c>
      <c r="E45" s="170" t="s">
        <v>819</v>
      </c>
      <c r="F45" s="5"/>
      <c r="G45" s="5"/>
      <c r="H45" s="5"/>
      <c r="I45" s="5"/>
      <c r="J45" s="5"/>
      <c r="K45" s="5"/>
    </row>
    <row r="46" spans="2:11" ht="15" thickBot="1">
      <c r="B46" s="2422"/>
      <c r="C46" s="72"/>
      <c r="D46" s="32" t="s">
        <v>811</v>
      </c>
      <c r="E46" s="187"/>
      <c r="F46" s="5"/>
      <c r="G46" s="5"/>
      <c r="H46" s="5"/>
      <c r="I46" s="5"/>
      <c r="J46" s="5"/>
      <c r="K46" s="5"/>
    </row>
    <row r="47" spans="2:11" ht="15" thickBot="1">
      <c r="B47" s="2422"/>
      <c r="C47" s="72"/>
      <c r="D47" s="32" t="s">
        <v>531</v>
      </c>
      <c r="E47" s="187"/>
      <c r="F47" s="5"/>
      <c r="G47" s="5"/>
      <c r="H47" s="5"/>
      <c r="I47" s="5"/>
      <c r="J47" s="5"/>
      <c r="K47" s="5"/>
    </row>
    <row r="48" spans="2:11" ht="15" thickBot="1">
      <c r="B48" s="2422"/>
      <c r="C48" s="72"/>
      <c r="D48" s="32" t="s">
        <v>534</v>
      </c>
      <c r="E48" s="187"/>
      <c r="F48" s="5"/>
      <c r="G48" s="5"/>
      <c r="H48" s="5"/>
      <c r="I48" s="5"/>
      <c r="J48" s="5"/>
      <c r="K48" s="5"/>
    </row>
    <row r="49" spans="2:11" ht="15" thickBot="1">
      <c r="B49" s="2422"/>
      <c r="C49" s="72"/>
      <c r="D49" s="32" t="s">
        <v>537</v>
      </c>
      <c r="E49" s="187"/>
      <c r="F49" s="5"/>
      <c r="G49" s="5"/>
      <c r="H49" s="5"/>
      <c r="I49" s="5"/>
      <c r="J49" s="5"/>
      <c r="K49" s="5"/>
    </row>
    <row r="50" spans="2:11" ht="15" thickBot="1">
      <c r="B50" s="2423"/>
      <c r="C50" s="2"/>
      <c r="D50" s="32" t="s">
        <v>815</v>
      </c>
      <c r="E50" s="187"/>
      <c r="F50" s="5"/>
      <c r="G50" s="5"/>
      <c r="H50" s="5"/>
      <c r="I50" s="5"/>
      <c r="J50" s="5"/>
      <c r="K50" s="5"/>
    </row>
    <row r="51" spans="2:11" ht="15" thickBot="1">
      <c r="B51" s="1"/>
      <c r="C51" s="63"/>
      <c r="D51" s="5"/>
      <c r="E51" s="5"/>
      <c r="F51" s="5"/>
      <c r="G51" s="5"/>
      <c r="H51" s="5"/>
      <c r="I51" s="5"/>
      <c r="J51" s="5"/>
      <c r="K51" s="5"/>
    </row>
    <row r="52" spans="2:11" ht="15" customHeight="1" thickBot="1">
      <c r="B52" s="96" t="s">
        <v>820</v>
      </c>
      <c r="C52" s="97"/>
      <c r="D52" s="97"/>
      <c r="E52" s="98"/>
      <c r="G52" s="5"/>
      <c r="H52" s="5"/>
      <c r="I52" s="5"/>
      <c r="J52" s="5"/>
      <c r="K52" s="5"/>
    </row>
    <row r="53" spans="2:11" ht="24.6" thickBot="1">
      <c r="B53" s="37" t="s">
        <v>821</v>
      </c>
      <c r="C53" s="32" t="s">
        <v>822</v>
      </c>
      <c r="D53" s="32" t="s">
        <v>823</v>
      </c>
      <c r="E53" s="32" t="s">
        <v>824</v>
      </c>
      <c r="F53" s="5"/>
      <c r="G53" s="5"/>
      <c r="H53" s="5"/>
      <c r="I53" s="5"/>
      <c r="J53" s="5"/>
    </row>
    <row r="54" spans="2:11" ht="72.599999999999994" thickBot="1">
      <c r="B54" s="39">
        <v>42401</v>
      </c>
      <c r="C54" s="32">
        <v>0.01</v>
      </c>
      <c r="D54" s="40" t="s">
        <v>1379</v>
      </c>
      <c r="E54" s="32"/>
      <c r="F54" s="5"/>
      <c r="G54" s="5"/>
      <c r="H54" s="5"/>
      <c r="I54" s="5"/>
      <c r="J54" s="5"/>
    </row>
    <row r="55" spans="2:11" ht="15" thickBot="1">
      <c r="B55" s="3"/>
      <c r="C55" s="73"/>
      <c r="D55" s="5"/>
      <c r="E55" s="5"/>
      <c r="F55" s="5"/>
      <c r="G55" s="5"/>
      <c r="H55" s="5"/>
      <c r="I55" s="5"/>
      <c r="J55" s="5"/>
      <c r="K55" s="5"/>
    </row>
    <row r="56" spans="2:11">
      <c r="B56" s="105" t="s">
        <v>702</v>
      </c>
      <c r="C56" s="74"/>
      <c r="D56" s="5"/>
      <c r="E56" s="5"/>
      <c r="F56" s="5"/>
      <c r="G56" s="5"/>
      <c r="H56" s="5"/>
      <c r="I56" s="5"/>
      <c r="J56" s="5"/>
      <c r="K56" s="5"/>
    </row>
    <row r="57" spans="2:11" ht="81" customHeight="1">
      <c r="B57" s="2664" t="s">
        <v>1380</v>
      </c>
      <c r="C57" s="2665"/>
      <c r="D57" s="2666"/>
      <c r="E57" s="5"/>
      <c r="F57" s="5"/>
      <c r="G57" s="5"/>
      <c r="H57" s="5"/>
      <c r="I57" s="5"/>
      <c r="J57" s="5"/>
      <c r="K57" s="5"/>
    </row>
    <row r="58" spans="2:11">
      <c r="B58" s="2667"/>
      <c r="C58" s="2668"/>
      <c r="D58" s="2669"/>
      <c r="E58" s="5"/>
      <c r="F58" s="5"/>
      <c r="G58" s="5"/>
      <c r="H58" s="5"/>
      <c r="I58" s="5"/>
      <c r="J58" s="5"/>
      <c r="K58" s="5"/>
    </row>
    <row r="59" spans="2:11">
      <c r="B59" s="1"/>
      <c r="C59" s="63"/>
      <c r="D59" s="5"/>
      <c r="E59" s="5"/>
      <c r="F59" s="5"/>
      <c r="G59" s="5"/>
      <c r="H59" s="5"/>
      <c r="I59" s="5"/>
      <c r="J59" s="5"/>
      <c r="K59" s="5"/>
    </row>
    <row r="60" spans="2:11" ht="15" thickBot="1">
      <c r="B60" s="5"/>
      <c r="D60" s="5"/>
      <c r="E60" s="5"/>
      <c r="F60" s="5"/>
      <c r="G60" s="5"/>
      <c r="H60" s="5"/>
      <c r="I60" s="5"/>
      <c r="J60" s="5"/>
      <c r="K60" s="5"/>
    </row>
    <row r="61" spans="2:11" ht="24.6" thickBot="1">
      <c r="B61" s="41" t="s">
        <v>1302</v>
      </c>
      <c r="C61" s="75"/>
      <c r="D61" s="5"/>
      <c r="E61" s="5"/>
      <c r="F61" s="5"/>
      <c r="G61" s="5"/>
      <c r="H61" s="5"/>
      <c r="I61" s="5"/>
      <c r="J61" s="5"/>
      <c r="K61" s="5"/>
    </row>
    <row r="62" spans="2:11" ht="15" thickBot="1">
      <c r="B62" s="29"/>
      <c r="C62" s="66"/>
      <c r="D62" s="5"/>
      <c r="E62" s="5"/>
      <c r="F62" s="5"/>
      <c r="G62" s="5"/>
      <c r="H62" s="5"/>
      <c r="I62" s="5"/>
      <c r="J62" s="5"/>
      <c r="K62" s="5"/>
    </row>
    <row r="63" spans="2:11" ht="72.599999999999994" thickBot="1">
      <c r="B63" s="42" t="s">
        <v>827</v>
      </c>
      <c r="C63" s="76"/>
      <c r="D63" s="34" t="s">
        <v>1381</v>
      </c>
      <c r="E63" s="5"/>
      <c r="F63" s="5"/>
      <c r="G63" s="5"/>
      <c r="H63" s="5"/>
      <c r="I63" s="5"/>
      <c r="J63" s="5"/>
      <c r="K63" s="5"/>
    </row>
    <row r="64" spans="2:11">
      <c r="B64" s="2421" t="s">
        <v>829</v>
      </c>
      <c r="C64" s="72"/>
      <c r="D64" s="43" t="s">
        <v>830</v>
      </c>
      <c r="E64" s="5"/>
      <c r="F64" s="5"/>
      <c r="G64" s="5"/>
      <c r="H64" s="5"/>
      <c r="I64" s="5"/>
      <c r="J64" s="5"/>
      <c r="K64" s="5"/>
    </row>
    <row r="65" spans="2:11" ht="96">
      <c r="B65" s="2422"/>
      <c r="C65" s="72"/>
      <c r="D65" s="36" t="s">
        <v>1382</v>
      </c>
      <c r="E65" s="5"/>
      <c r="F65" s="5"/>
      <c r="G65" s="5"/>
      <c r="H65" s="5"/>
      <c r="I65" s="5"/>
      <c r="J65" s="5"/>
      <c r="K65" s="5"/>
    </row>
    <row r="66" spans="2:11">
      <c r="B66" s="2422"/>
      <c r="C66" s="72"/>
      <c r="D66" s="43" t="s">
        <v>833</v>
      </c>
      <c r="E66" s="5"/>
      <c r="F66" s="5"/>
      <c r="G66" s="5"/>
      <c r="H66" s="5"/>
      <c r="I66" s="5"/>
      <c r="J66" s="5"/>
      <c r="K66" s="5"/>
    </row>
    <row r="67" spans="2:11">
      <c r="B67" s="2422"/>
      <c r="C67" s="72"/>
      <c r="D67" s="36" t="s">
        <v>949</v>
      </c>
      <c r="E67" s="5"/>
      <c r="F67" s="5"/>
      <c r="G67" s="5"/>
      <c r="H67" s="5"/>
      <c r="I67" s="5"/>
      <c r="J67" s="5"/>
      <c r="K67" s="5"/>
    </row>
    <row r="68" spans="2:11" ht="24">
      <c r="B68" s="2422"/>
      <c r="C68" s="72"/>
      <c r="D68" s="36" t="s">
        <v>1383</v>
      </c>
      <c r="E68" s="5"/>
      <c r="F68" s="5"/>
      <c r="G68" s="5"/>
      <c r="H68" s="5"/>
      <c r="I68" s="5"/>
      <c r="J68" s="5"/>
      <c r="K68" s="5"/>
    </row>
    <row r="69" spans="2:11">
      <c r="B69" s="2422"/>
      <c r="C69" s="72"/>
      <c r="D69" s="36" t="s">
        <v>1384</v>
      </c>
      <c r="E69" s="5"/>
      <c r="F69" s="5"/>
      <c r="G69" s="5"/>
      <c r="H69" s="5"/>
      <c r="I69" s="5"/>
      <c r="J69" s="5"/>
      <c r="K69" s="5"/>
    </row>
    <row r="70" spans="2:11">
      <c r="B70" s="2422"/>
      <c r="C70" s="72"/>
      <c r="D70" s="36" t="s">
        <v>1385</v>
      </c>
      <c r="E70" s="5"/>
      <c r="F70" s="5"/>
      <c r="G70" s="5"/>
      <c r="H70" s="5"/>
      <c r="I70" s="5"/>
      <c r="J70" s="5"/>
      <c r="K70" s="5"/>
    </row>
    <row r="71" spans="2:11">
      <c r="B71" s="2422"/>
      <c r="C71" s="72"/>
      <c r="D71" s="36" t="s">
        <v>1386</v>
      </c>
      <c r="E71" s="5"/>
      <c r="F71" s="5"/>
      <c r="G71" s="5"/>
      <c r="H71" s="5"/>
      <c r="I71" s="5"/>
      <c r="J71" s="5"/>
      <c r="K71" s="5"/>
    </row>
    <row r="72" spans="2:11" ht="24">
      <c r="B72" s="2422"/>
      <c r="C72" s="72"/>
      <c r="D72" s="36" t="s">
        <v>1387</v>
      </c>
      <c r="E72" s="5"/>
      <c r="F72" s="5"/>
      <c r="G72" s="5"/>
      <c r="H72" s="5"/>
      <c r="I72" s="5"/>
      <c r="J72" s="5"/>
      <c r="K72" s="5"/>
    </row>
    <row r="73" spans="2:11">
      <c r="B73" s="2422"/>
      <c r="C73" s="72"/>
      <c r="D73" s="43" t="s">
        <v>1085</v>
      </c>
      <c r="E73" s="5"/>
      <c r="F73" s="5"/>
      <c r="G73" s="5"/>
      <c r="H73" s="5"/>
      <c r="I73" s="5"/>
      <c r="J73" s="5"/>
      <c r="K73" s="5"/>
    </row>
    <row r="74" spans="2:11" ht="24">
      <c r="B74" s="2422"/>
      <c r="C74" s="72"/>
      <c r="D74" s="36" t="s">
        <v>1187</v>
      </c>
      <c r="E74" s="5"/>
      <c r="F74" s="5"/>
      <c r="G74" s="5"/>
      <c r="H74" s="5"/>
      <c r="I74" s="5"/>
      <c r="J74" s="5"/>
      <c r="K74" s="5"/>
    </row>
    <row r="75" spans="2:11" ht="36">
      <c r="B75" s="2422"/>
      <c r="C75" s="72"/>
      <c r="D75" s="36" t="s">
        <v>1388</v>
      </c>
      <c r="E75" s="5"/>
      <c r="F75" s="5"/>
      <c r="G75" s="5"/>
      <c r="H75" s="5"/>
      <c r="I75" s="5"/>
      <c r="J75" s="5"/>
      <c r="K75" s="5"/>
    </row>
    <row r="76" spans="2:11" ht="72.599999999999994" thickBot="1">
      <c r="B76" s="2423"/>
      <c r="C76" s="2"/>
      <c r="D76" s="32" t="s">
        <v>1389</v>
      </c>
      <c r="E76" s="5"/>
      <c r="F76" s="5"/>
      <c r="G76" s="5"/>
      <c r="H76" s="5"/>
      <c r="I76" s="5"/>
      <c r="J76" s="5"/>
      <c r="K76" s="5"/>
    </row>
    <row r="77" spans="2:11" ht="24.6" thickBot="1">
      <c r="B77" s="37" t="s">
        <v>842</v>
      </c>
      <c r="C77" s="2"/>
      <c r="D77" s="32"/>
      <c r="E77" s="5"/>
      <c r="F77" s="5"/>
      <c r="G77" s="5"/>
      <c r="H77" s="5"/>
      <c r="I77" s="5"/>
      <c r="J77" s="5"/>
      <c r="K77" s="5"/>
    </row>
    <row r="78" spans="2:11" ht="72">
      <c r="B78" s="2421" t="s">
        <v>843</v>
      </c>
      <c r="C78" s="72"/>
      <c r="D78" s="36" t="s">
        <v>1390</v>
      </c>
      <c r="E78" s="5"/>
      <c r="F78" s="5"/>
      <c r="G78" s="5"/>
      <c r="H78" s="5"/>
      <c r="I78" s="5"/>
      <c r="J78" s="5"/>
      <c r="K78" s="5"/>
    </row>
    <row r="79" spans="2:11" ht="84">
      <c r="B79" s="2422"/>
      <c r="C79" s="72"/>
      <c r="D79" s="36" t="s">
        <v>1391</v>
      </c>
      <c r="E79" s="5"/>
      <c r="F79" s="5"/>
      <c r="G79" s="5"/>
      <c r="H79" s="5"/>
      <c r="I79" s="5"/>
      <c r="J79" s="5"/>
      <c r="K79" s="5"/>
    </row>
    <row r="80" spans="2:11" ht="120">
      <c r="B80" s="2422"/>
      <c r="C80" s="72"/>
      <c r="D80" s="36" t="s">
        <v>1392</v>
      </c>
      <c r="E80" s="5"/>
      <c r="F80" s="5"/>
      <c r="G80" s="5"/>
      <c r="H80" s="5"/>
      <c r="I80" s="5"/>
      <c r="J80" s="5"/>
      <c r="K80" s="5"/>
    </row>
    <row r="81" spans="2:11" ht="132.6" thickBot="1">
      <c r="B81" s="2423"/>
      <c r="C81" s="2"/>
      <c r="D81" s="32" t="s">
        <v>1393</v>
      </c>
      <c r="E81" s="5"/>
      <c r="F81" s="5"/>
      <c r="G81" s="5"/>
      <c r="H81" s="5"/>
      <c r="I81" s="5"/>
      <c r="J81" s="5"/>
      <c r="K81" s="5"/>
    </row>
    <row r="82" spans="2:11" ht="24">
      <c r="B82" s="2421" t="s">
        <v>860</v>
      </c>
      <c r="C82" s="72"/>
      <c r="D82" s="43" t="s">
        <v>23</v>
      </c>
      <c r="E82" s="5"/>
      <c r="F82" s="5"/>
      <c r="G82" s="5"/>
      <c r="H82" s="5"/>
      <c r="I82" s="5"/>
      <c r="J82" s="5"/>
      <c r="K82" s="5"/>
    </row>
    <row r="83" spans="2:11">
      <c r="B83" s="2422"/>
      <c r="C83" s="72"/>
      <c r="D83" s="36" t="s">
        <v>1359</v>
      </c>
      <c r="E83" s="5"/>
      <c r="F83" s="5"/>
      <c r="G83" s="5"/>
      <c r="H83" s="5"/>
      <c r="I83" s="5"/>
      <c r="J83" s="5"/>
      <c r="K83" s="5"/>
    </row>
    <row r="84" spans="2:11">
      <c r="B84" s="2422"/>
      <c r="C84" s="72"/>
      <c r="D84" s="36" t="s">
        <v>861</v>
      </c>
      <c r="E84" s="5"/>
      <c r="F84" s="5"/>
      <c r="G84" s="5"/>
      <c r="H84" s="5"/>
      <c r="I84" s="5"/>
      <c r="J84" s="5"/>
      <c r="K84" s="5"/>
    </row>
    <row r="85" spans="2:11" ht="38.4">
      <c r="B85" s="2422"/>
      <c r="C85" s="72"/>
      <c r="D85" s="36" t="s">
        <v>1394</v>
      </c>
      <c r="E85" s="5"/>
      <c r="F85" s="5"/>
      <c r="G85" s="5"/>
      <c r="H85" s="5"/>
      <c r="I85" s="5"/>
      <c r="J85" s="5"/>
      <c r="K85" s="5"/>
    </row>
    <row r="86" spans="2:11" ht="38.4">
      <c r="B86" s="2422"/>
      <c r="C86" s="72"/>
      <c r="D86" s="36" t="s">
        <v>1395</v>
      </c>
      <c r="E86" s="5"/>
      <c r="F86" s="5"/>
      <c r="G86" s="5"/>
      <c r="H86" s="5"/>
      <c r="I86" s="5"/>
      <c r="J86" s="5"/>
      <c r="K86" s="5"/>
    </row>
    <row r="87" spans="2:11" ht="38.4">
      <c r="B87" s="2422"/>
      <c r="C87" s="72"/>
      <c r="D87" s="36" t="s">
        <v>1396</v>
      </c>
      <c r="E87" s="5"/>
      <c r="F87" s="5"/>
      <c r="G87" s="5"/>
      <c r="H87" s="5"/>
      <c r="I87" s="5"/>
      <c r="J87" s="5"/>
      <c r="K87" s="5"/>
    </row>
    <row r="88" spans="2:11" ht="72">
      <c r="B88" s="2422"/>
      <c r="C88" s="72"/>
      <c r="D88" s="44" t="s">
        <v>1052</v>
      </c>
      <c r="E88" s="5"/>
      <c r="F88" s="5"/>
      <c r="G88" s="5"/>
      <c r="H88" s="5"/>
      <c r="I88" s="5"/>
      <c r="J88" s="5"/>
      <c r="K88" s="5"/>
    </row>
    <row r="89" spans="2:11">
      <c r="B89" s="2422"/>
      <c r="C89" s="72"/>
      <c r="D89" s="43" t="s">
        <v>1021</v>
      </c>
      <c r="E89" s="5"/>
      <c r="F89" s="5"/>
      <c r="G89" s="5"/>
      <c r="H89" s="5"/>
      <c r="I89" s="5"/>
      <c r="J89" s="5"/>
      <c r="K89" s="5"/>
    </row>
    <row r="90" spans="2:11" ht="24">
      <c r="B90" s="2422"/>
      <c r="C90" s="72"/>
      <c r="D90" s="43" t="s">
        <v>1397</v>
      </c>
      <c r="E90" s="5"/>
      <c r="F90" s="5"/>
      <c r="G90" s="5"/>
      <c r="H90" s="5"/>
      <c r="I90" s="5"/>
      <c r="J90" s="5"/>
      <c r="K90" s="5"/>
    </row>
    <row r="91" spans="2:11">
      <c r="B91" s="2422"/>
      <c r="C91" s="72"/>
      <c r="D91" s="13"/>
      <c r="E91" s="5"/>
      <c r="F91" s="5"/>
      <c r="G91" s="5"/>
      <c r="H91" s="5"/>
      <c r="I91" s="5"/>
      <c r="J91" s="5"/>
      <c r="K91" s="5"/>
    </row>
    <row r="92" spans="2:11">
      <c r="B92" s="2422"/>
      <c r="C92" s="72"/>
      <c r="D92" s="36" t="s">
        <v>861</v>
      </c>
      <c r="E92" s="5"/>
      <c r="F92" s="5"/>
      <c r="G92" s="5"/>
      <c r="H92" s="5"/>
      <c r="I92" s="5"/>
      <c r="J92" s="5"/>
      <c r="K92" s="5"/>
    </row>
    <row r="93" spans="2:11" ht="38.4">
      <c r="B93" s="2422"/>
      <c r="C93" s="72"/>
      <c r="D93" s="36" t="s">
        <v>1398</v>
      </c>
      <c r="E93" s="5"/>
      <c r="F93" s="5"/>
      <c r="G93" s="5"/>
      <c r="H93" s="5"/>
      <c r="I93" s="5"/>
      <c r="J93" s="5"/>
      <c r="K93" s="5"/>
    </row>
    <row r="94" spans="2:11" ht="39" thickBot="1">
      <c r="B94" s="2423"/>
      <c r="C94" s="2"/>
      <c r="D94" s="32" t="s">
        <v>1399</v>
      </c>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sheetData>
  <sheetProtection insertRows="0"/>
  <mergeCells count="38">
    <mergeCell ref="B10:D10"/>
    <mergeCell ref="F10:S10"/>
    <mergeCell ref="F11:S11"/>
    <mergeCell ref="E12:R12"/>
    <mergeCell ref="E13:R13"/>
    <mergeCell ref="B64:B76"/>
    <mergeCell ref="B78:B81"/>
    <mergeCell ref="B82:B94"/>
    <mergeCell ref="D16:D17"/>
    <mergeCell ref="E16:G16"/>
    <mergeCell ref="D31:L31"/>
    <mergeCell ref="D32:L32"/>
    <mergeCell ref="B34:E34"/>
    <mergeCell ref="B35:B41"/>
    <mergeCell ref="B43:E43"/>
    <mergeCell ref="B44:B50"/>
    <mergeCell ref="B57:D58"/>
    <mergeCell ref="K26:K27"/>
    <mergeCell ref="B15:B30"/>
    <mergeCell ref="D15:L15"/>
    <mergeCell ref="D22:L22"/>
    <mergeCell ref="D23:L23"/>
    <mergeCell ref="D24:L24"/>
    <mergeCell ref="D25:L25"/>
    <mergeCell ref="K16:K17"/>
    <mergeCell ref="C26:C27"/>
    <mergeCell ref="D26:D27"/>
    <mergeCell ref="E26:E27"/>
    <mergeCell ref="F26:F27"/>
    <mergeCell ref="G26:G27"/>
    <mergeCell ref="J26:J27"/>
    <mergeCell ref="H16:J16"/>
    <mergeCell ref="L26:L27"/>
    <mergeCell ref="A1:P1"/>
    <mergeCell ref="A2:P2"/>
    <mergeCell ref="A3:P3"/>
    <mergeCell ref="A4:D4"/>
    <mergeCell ref="A5:P5"/>
  </mergeCells>
  <conditionalFormatting sqref="E12:R12">
    <cfRule type="expression" dxfId="71" priority="1">
      <formula>E11="SI SE REPORTA"</formula>
    </cfRule>
  </conditionalFormatting>
  <conditionalFormatting sqref="F10">
    <cfRule type="notContainsBlanks" dxfId="70" priority="6">
      <formula>LEN(TRIM(F10))&gt;0</formula>
    </cfRule>
  </conditionalFormatting>
  <conditionalFormatting sqref="F11:S11">
    <cfRule type="expression" dxfId="69" priority="4">
      <formula>E11="NO SE REPORTA"</formula>
    </cfRule>
    <cfRule type="expression" dxfId="68" priority="5">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xr:uid="{00000000-0002-0000-1200-000000000000}">
      <formula1>0</formula1>
    </dataValidation>
    <dataValidation type="whole" operator="greaterThanOrEqual" allowBlank="1" showInputMessage="1" showErrorMessage="1" errorTitle="ERROR" error="Valor en PESOS (sin centavos)" sqref="H28:K29" xr:uid="{00000000-0002-0000-1200-000001000000}">
      <formula1>0</formula1>
    </dataValidation>
    <dataValidation type="list" allowBlank="1" showInputMessage="1" showErrorMessage="1" sqref="E11" xr:uid="{00000000-0002-0000-1200-000002000000}">
      <formula1>REPORTE</formula1>
    </dataValidation>
    <dataValidation type="list" allowBlank="1" showInputMessage="1" showErrorMessage="1" sqref="E10" xr:uid="{00000000-0002-0000-1200-000003000000}">
      <formula1>SI</formula1>
    </dataValidation>
  </dataValidations>
  <hyperlinks>
    <hyperlink ref="B9" location="'ANEXO 3'!A1" display="VOLVER AL INDICE" xr:uid="{00000000-0004-0000-1200-000000000000}"/>
    <hyperlink ref="E39" r:id="rId1" xr:uid="{00000000-0004-0000-1200-000001000000}"/>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dimension ref="A1:U176"/>
  <sheetViews>
    <sheetView topLeftCell="A34" zoomScaleNormal="100" workbookViewId="0">
      <selection activeCell="E12" sqref="E12:R12"/>
    </sheetView>
  </sheetViews>
  <sheetFormatPr baseColWidth="10" defaultColWidth="11.44140625" defaultRowHeight="14.4"/>
  <cols>
    <col min="1" max="1" width="1.88671875" customWidth="1"/>
    <col min="2" max="2" width="12.88671875" customWidth="1"/>
    <col min="3" max="3" width="9.44140625" style="65" customWidth="1"/>
    <col min="4" max="4" width="45.109375" customWidth="1"/>
    <col min="5" max="5" width="22.44140625" customWidth="1"/>
    <col min="6" max="6" width="12.88671875" customWidth="1"/>
    <col min="7" max="10" width="14.44140625" bestFit="1" customWidth="1"/>
    <col min="11" max="11" width="58.1093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24</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3"/>
      <c r="D7" s="5"/>
      <c r="E7" s="14"/>
      <c r="F7" s="5" t="s">
        <v>738</v>
      </c>
      <c r="G7" s="5"/>
      <c r="H7" s="5"/>
      <c r="I7" s="5"/>
      <c r="J7" s="5"/>
      <c r="K7" s="5"/>
    </row>
    <row r="8" spans="1:21" ht="15" thickBot="1">
      <c r="B8" s="142" t="s">
        <v>739</v>
      </c>
      <c r="C8" s="540">
        <v>2025</v>
      </c>
      <c r="D8" s="248">
        <f>IF(E10="NO APLICA","NO APLICA",IF(E11="NO SE REPORTA","SIN INFORMACION",+F22))</f>
        <v>1</v>
      </c>
      <c r="E8" s="161"/>
      <c r="F8" s="5" t="s">
        <v>740</v>
      </c>
      <c r="G8" s="5"/>
      <c r="H8" s="5"/>
      <c r="I8" s="5"/>
      <c r="J8" s="5"/>
      <c r="K8" s="5"/>
    </row>
    <row r="9" spans="1:21">
      <c r="B9" s="290" t="s">
        <v>741</v>
      </c>
      <c r="C9" s="66"/>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124.2" customHeight="1">
      <c r="B12" s="290"/>
      <c r="C12" s="66"/>
      <c r="D12" s="141" t="str">
        <f>IF(E11="SI SE REPORTA","¿Qué programas o proyectos del Plan de Acción están asociados al indicador? ","")</f>
        <v xml:space="preserve">¿Qué programas o proyectos del Plan de Acción están asociados al indicador? </v>
      </c>
      <c r="E12" s="2500" t="s">
        <v>2066</v>
      </c>
      <c r="F12" s="2500"/>
      <c r="G12" s="2500"/>
      <c r="H12" s="2500"/>
      <c r="I12" s="2500"/>
      <c r="J12" s="2500"/>
      <c r="K12" s="2500"/>
      <c r="L12" s="2500"/>
      <c r="M12" s="2500"/>
      <c r="N12" s="2500"/>
      <c r="O12" s="2500"/>
      <c r="P12" s="2500"/>
      <c r="Q12" s="2500"/>
      <c r="R12" s="2500"/>
    </row>
    <row r="13" spans="1:21" ht="21.9" customHeight="1">
      <c r="B13" s="290"/>
      <c r="C13" s="66"/>
      <c r="D13" s="141" t="s">
        <v>746</v>
      </c>
      <c r="E13" s="2501"/>
      <c r="F13" s="2502"/>
      <c r="G13" s="2502"/>
      <c r="H13" s="2502"/>
      <c r="I13" s="2502"/>
      <c r="J13" s="2502"/>
      <c r="K13" s="2502"/>
      <c r="L13" s="2502"/>
      <c r="M13" s="2502"/>
      <c r="N13" s="2502"/>
      <c r="O13" s="2502"/>
      <c r="P13" s="2502"/>
      <c r="Q13" s="2502"/>
      <c r="R13" s="2503"/>
    </row>
    <row r="14" spans="1:21" ht="13.2" customHeight="1" thickBot="1">
      <c r="B14" s="290"/>
      <c r="C14" s="66"/>
      <c r="D14" s="5"/>
      <c r="E14" s="5"/>
      <c r="F14" s="5"/>
      <c r="G14" s="5"/>
      <c r="H14" s="5"/>
      <c r="I14" s="5"/>
      <c r="J14" s="5"/>
      <c r="K14" s="5"/>
    </row>
    <row r="15" spans="1:21" ht="15.6" customHeight="1" thickTop="1" thickBot="1">
      <c r="B15" s="2670" t="s">
        <v>747</v>
      </c>
      <c r="C15" s="67"/>
      <c r="D15" s="2412" t="s">
        <v>1103</v>
      </c>
      <c r="E15" s="2413"/>
      <c r="F15" s="2413"/>
      <c r="G15" s="2413"/>
      <c r="H15" s="2413"/>
      <c r="I15" s="2413"/>
      <c r="J15" s="2413"/>
      <c r="K15" s="2414"/>
    </row>
    <row r="16" spans="1:21" ht="20.25" customHeight="1" thickBot="1">
      <c r="B16" s="2671"/>
      <c r="C16" s="72"/>
      <c r="D16" s="34" t="s">
        <v>904</v>
      </c>
      <c r="E16" s="431" t="s">
        <v>794</v>
      </c>
      <c r="F16" s="431" t="s">
        <v>593</v>
      </c>
      <c r="G16" s="431" t="s">
        <v>594</v>
      </c>
      <c r="H16" s="732" t="s">
        <v>595</v>
      </c>
      <c r="I16" s="247"/>
      <c r="J16" s="5"/>
      <c r="K16" s="17"/>
    </row>
    <row r="17" spans="2:11" ht="24.6" thickBot="1">
      <c r="B17" s="2671"/>
      <c r="C17" s="72"/>
      <c r="D17" s="32" t="s">
        <v>1400</v>
      </c>
      <c r="E17" s="503">
        <v>8</v>
      </c>
      <c r="F17" s="503">
        <v>52</v>
      </c>
      <c r="G17" s="503">
        <v>52</v>
      </c>
      <c r="H17" s="503">
        <v>48</v>
      </c>
      <c r="I17" s="247"/>
      <c r="J17" s="5"/>
      <c r="K17" s="17"/>
    </row>
    <row r="18" spans="2:11" ht="15" thickBot="1">
      <c r="B18" s="2671"/>
      <c r="C18" s="72"/>
      <c r="D18" s="32" t="s">
        <v>1401</v>
      </c>
      <c r="E18" s="503">
        <v>8</v>
      </c>
      <c r="F18" s="503">
        <v>0</v>
      </c>
      <c r="G18" s="503">
        <v>0</v>
      </c>
      <c r="H18" s="504">
        <v>0</v>
      </c>
      <c r="I18" s="247"/>
      <c r="J18" s="5"/>
      <c r="K18" s="17"/>
    </row>
    <row r="19" spans="2:11" ht="15" thickBot="1">
      <c r="B19" s="2671"/>
      <c r="C19" s="72"/>
      <c r="D19" s="32" t="s">
        <v>1402</v>
      </c>
      <c r="E19" s="503">
        <v>0</v>
      </c>
      <c r="F19" s="503">
        <v>0</v>
      </c>
      <c r="G19" s="503">
        <v>0</v>
      </c>
      <c r="H19" s="504">
        <v>0</v>
      </c>
      <c r="I19" s="247"/>
      <c r="J19" s="5"/>
      <c r="K19" s="17"/>
    </row>
    <row r="20" spans="2:11" ht="15" thickBot="1">
      <c r="B20" s="2671"/>
      <c r="C20" s="72"/>
      <c r="D20" s="32" t="s">
        <v>1403</v>
      </c>
      <c r="E20" s="503">
        <v>0</v>
      </c>
      <c r="F20" s="503">
        <v>0</v>
      </c>
      <c r="G20" s="503">
        <v>0</v>
      </c>
      <c r="H20" s="504">
        <v>0</v>
      </c>
      <c r="I20" s="247"/>
      <c r="J20" s="5"/>
      <c r="K20" s="17"/>
    </row>
    <row r="21" spans="2:11" ht="15" thickBot="1">
      <c r="B21" s="2671"/>
      <c r="C21" s="72"/>
      <c r="D21" s="32" t="s">
        <v>905</v>
      </c>
      <c r="E21" s="520">
        <f>SUM(E18:E20)</f>
        <v>8</v>
      </c>
      <c r="F21" s="520">
        <v>52</v>
      </c>
      <c r="G21" s="520">
        <v>0</v>
      </c>
      <c r="H21" s="520">
        <v>0</v>
      </c>
      <c r="I21" s="247"/>
      <c r="J21" s="5"/>
      <c r="K21" s="17"/>
    </row>
    <row r="22" spans="2:11" ht="24.6" thickBot="1">
      <c r="B22" s="2671"/>
      <c r="C22" s="79"/>
      <c r="D22" s="42" t="s">
        <v>24</v>
      </c>
      <c r="E22" s="665">
        <f>+E21/E17</f>
        <v>1</v>
      </c>
      <c r="F22" s="665">
        <f>+F21/F17</f>
        <v>1</v>
      </c>
      <c r="G22" s="665">
        <f>+G21/G17</f>
        <v>0</v>
      </c>
      <c r="H22" s="665">
        <f>+H21/H17</f>
        <v>0</v>
      </c>
      <c r="I22" s="247"/>
      <c r="J22" s="5"/>
      <c r="K22" s="17"/>
    </row>
    <row r="23" spans="2:11">
      <c r="B23" s="2671"/>
      <c r="C23" s="70"/>
      <c r="D23" s="2415" t="s">
        <v>1021</v>
      </c>
      <c r="E23" s="2416"/>
      <c r="F23" s="2416"/>
      <c r="G23" s="2416"/>
      <c r="H23" s="2416"/>
      <c r="I23" s="2416"/>
      <c r="J23" s="2416"/>
      <c r="K23" s="2417"/>
    </row>
    <row r="24" spans="2:11">
      <c r="B24" s="2671"/>
      <c r="C24" s="70"/>
      <c r="D24" s="2415" t="s">
        <v>1404</v>
      </c>
      <c r="E24" s="2416"/>
      <c r="F24" s="2416"/>
      <c r="G24" s="2416"/>
      <c r="H24" s="2416"/>
      <c r="I24" s="2416"/>
      <c r="J24" s="2416"/>
      <c r="K24" s="2417"/>
    </row>
    <row r="25" spans="2:11" ht="15" thickBot="1">
      <c r="B25" s="2671"/>
      <c r="C25" s="70"/>
      <c r="D25" s="2434" t="s">
        <v>1110</v>
      </c>
      <c r="E25" s="2435"/>
      <c r="F25" s="2435"/>
      <c r="G25" s="2435"/>
      <c r="H25" s="2435"/>
      <c r="I25" s="2435"/>
      <c r="J25" s="2435"/>
      <c r="K25" s="2436"/>
    </row>
    <row r="26" spans="2:11" ht="57" customHeight="1" thickBot="1">
      <c r="B26" s="168"/>
      <c r="C26" s="76" t="s">
        <v>698</v>
      </c>
      <c r="D26" s="55" t="s">
        <v>1023</v>
      </c>
      <c r="E26" s="55" t="s">
        <v>1405</v>
      </c>
      <c r="F26" s="431" t="s">
        <v>2092</v>
      </c>
      <c r="G26" s="431" t="s">
        <v>1113</v>
      </c>
      <c r="H26" s="431" t="s">
        <v>1114</v>
      </c>
      <c r="I26" s="431" t="s">
        <v>1027</v>
      </c>
      <c r="J26" s="431" t="s">
        <v>1028</v>
      </c>
      <c r="K26" s="685" t="s">
        <v>702</v>
      </c>
    </row>
    <row r="27" spans="2:11" ht="110.25" customHeight="1" thickBot="1">
      <c r="B27" s="168"/>
      <c r="C27" s="2">
        <v>1</v>
      </c>
      <c r="D27" s="491" t="s">
        <v>1406</v>
      </c>
      <c r="E27" s="512" t="s">
        <v>1407</v>
      </c>
      <c r="F27" s="496">
        <v>120</v>
      </c>
      <c r="G27" s="683">
        <v>868310476</v>
      </c>
      <c r="H27" s="683">
        <v>868310476</v>
      </c>
      <c r="I27" s="683">
        <v>868310476</v>
      </c>
      <c r="J27" s="683">
        <v>313451282</v>
      </c>
      <c r="K27" s="798" t="s">
        <v>2074</v>
      </c>
    </row>
    <row r="28" spans="2:11" s="148" customFormat="1" ht="135.75" customHeight="1" thickBot="1">
      <c r="B28" s="165"/>
      <c r="C28" s="169">
        <v>1</v>
      </c>
      <c r="D28" s="565" t="s">
        <v>1408</v>
      </c>
      <c r="E28" s="513" t="s">
        <v>1409</v>
      </c>
      <c r="F28" s="496">
        <v>4</v>
      </c>
      <c r="G28" s="683">
        <v>868310476</v>
      </c>
      <c r="H28" s="683">
        <v>868310476</v>
      </c>
      <c r="I28" s="683">
        <v>868310476</v>
      </c>
      <c r="J28" s="683">
        <v>313451282</v>
      </c>
      <c r="K28" s="620" t="s">
        <v>2075</v>
      </c>
    </row>
    <row r="29" spans="2:11" s="148" customFormat="1" ht="101.25" customHeight="1" thickBot="1">
      <c r="B29" s="165"/>
      <c r="C29" s="169"/>
      <c r="D29" s="565" t="s">
        <v>2067</v>
      </c>
      <c r="E29" s="513" t="s">
        <v>1409</v>
      </c>
      <c r="F29" s="496">
        <v>40</v>
      </c>
      <c r="G29" s="675">
        <v>445500000</v>
      </c>
      <c r="H29" s="675">
        <v>445500000</v>
      </c>
      <c r="I29" s="675">
        <v>445500000</v>
      </c>
      <c r="J29" s="676">
        <v>432491202</v>
      </c>
      <c r="K29" s="620" t="s">
        <v>2076</v>
      </c>
    </row>
    <row r="30" spans="2:11" ht="15" thickBot="1">
      <c r="B30" s="37"/>
      <c r="C30" s="2"/>
      <c r="D30" s="32"/>
      <c r="E30" s="32"/>
      <c r="F30" s="112">
        <f>SUM(F27:F29)</f>
        <v>164</v>
      </c>
      <c r="G30" s="684">
        <f>SUM(G27:G28)</f>
        <v>1736620952</v>
      </c>
      <c r="H30" s="684">
        <f>SUM(H27:H28)</f>
        <v>1736620952</v>
      </c>
      <c r="I30" s="684">
        <f>SUM(I27:I28)</f>
        <v>1736620952</v>
      </c>
      <c r="J30" s="684">
        <f>SUM(J27:J28)</f>
        <v>626902564</v>
      </c>
      <c r="K30" s="158"/>
    </row>
    <row r="31" spans="2:11" ht="24" customHeight="1" thickBot="1">
      <c r="B31" s="60" t="s">
        <v>803</v>
      </c>
      <c r="C31" s="85"/>
      <c r="D31" s="2424" t="s">
        <v>1410</v>
      </c>
      <c r="E31" s="2425"/>
      <c r="F31" s="2425"/>
      <c r="G31" s="2425"/>
      <c r="H31" s="2425"/>
      <c r="I31" s="2425"/>
      <c r="J31" s="2425"/>
      <c r="K31" s="2426"/>
    </row>
    <row r="32" spans="2:11" ht="24" customHeight="1" thickBot="1">
      <c r="B32" s="60" t="s">
        <v>805</v>
      </c>
      <c r="C32" s="85"/>
      <c r="D32" s="2424" t="s">
        <v>1117</v>
      </c>
      <c r="E32" s="2425"/>
      <c r="F32" s="2425"/>
      <c r="G32" s="2425"/>
      <c r="H32" s="2425"/>
      <c r="I32" s="2425"/>
      <c r="J32" s="2425"/>
      <c r="K32" s="2426"/>
    </row>
    <row r="33" spans="2:11" ht="15" thickBot="1">
      <c r="B33" s="1"/>
      <c r="C33" s="63"/>
      <c r="D33" s="5"/>
      <c r="E33" s="5"/>
      <c r="F33" s="5"/>
      <c r="G33" s="5"/>
      <c r="H33" s="5"/>
      <c r="I33" s="5"/>
      <c r="J33" s="5"/>
      <c r="K33" s="5"/>
    </row>
    <row r="34" spans="2:11" ht="24" customHeight="1" thickBot="1">
      <c r="B34" s="2431" t="s">
        <v>807</v>
      </c>
      <c r="C34" s="2432"/>
      <c r="D34" s="2432"/>
      <c r="E34" s="2433"/>
      <c r="F34" s="5"/>
      <c r="G34" s="5"/>
      <c r="H34" s="5"/>
      <c r="I34" s="5"/>
      <c r="J34" s="5"/>
      <c r="K34" s="5"/>
    </row>
    <row r="35" spans="2:11" ht="15" thickBot="1">
      <c r="B35" s="2421">
        <v>1</v>
      </c>
      <c r="C35" s="72"/>
      <c r="D35" s="38" t="s">
        <v>808</v>
      </c>
      <c r="E35" s="25" t="s">
        <v>809</v>
      </c>
      <c r="F35" s="5"/>
      <c r="G35" s="5"/>
      <c r="H35" s="5"/>
      <c r="I35" s="5"/>
      <c r="J35" s="5"/>
      <c r="K35" s="5"/>
    </row>
    <row r="36" spans="2:11" ht="24.6" thickBot="1">
      <c r="B36" s="2422"/>
      <c r="C36" s="72"/>
      <c r="D36" s="32" t="s">
        <v>528</v>
      </c>
      <c r="E36" s="24" t="s">
        <v>1411</v>
      </c>
      <c r="F36" s="5"/>
      <c r="G36" s="5"/>
      <c r="H36" s="5"/>
      <c r="I36" s="5"/>
      <c r="J36" s="5"/>
      <c r="K36" s="5"/>
    </row>
    <row r="37" spans="2:11" ht="15" thickBot="1">
      <c r="B37" s="2422"/>
      <c r="C37" s="72"/>
      <c r="D37" s="32" t="s">
        <v>811</v>
      </c>
      <c r="E37" s="24" t="s">
        <v>1412</v>
      </c>
      <c r="F37" s="5"/>
      <c r="G37" s="5"/>
      <c r="H37" s="5"/>
      <c r="I37" s="5"/>
      <c r="J37" s="5"/>
      <c r="K37" s="5"/>
    </row>
    <row r="38" spans="2:11" ht="15" thickBot="1">
      <c r="B38" s="2422"/>
      <c r="C38" s="72"/>
      <c r="D38" s="32" t="s">
        <v>531</v>
      </c>
      <c r="E38" s="25" t="s">
        <v>1413</v>
      </c>
      <c r="F38" s="5"/>
      <c r="G38" s="5"/>
      <c r="H38" s="5"/>
      <c r="I38" s="5"/>
      <c r="J38" s="5"/>
      <c r="K38" s="5"/>
    </row>
    <row r="39" spans="2:11" ht="29.4" thickBot="1">
      <c r="B39" s="2422"/>
      <c r="C39" s="72"/>
      <c r="D39" s="32" t="s">
        <v>534</v>
      </c>
      <c r="E39" s="490" t="s">
        <v>814</v>
      </c>
      <c r="F39" s="5"/>
      <c r="G39" s="5"/>
      <c r="H39" s="5"/>
      <c r="I39" s="5"/>
      <c r="J39" s="5"/>
      <c r="K39" s="5"/>
    </row>
    <row r="40" spans="2:11" ht="15" thickBot="1">
      <c r="B40" s="2422"/>
      <c r="C40" s="72"/>
      <c r="D40" s="32" t="s">
        <v>537</v>
      </c>
      <c r="E40" s="131">
        <v>3686626</v>
      </c>
      <c r="F40" s="5"/>
      <c r="G40" s="5"/>
      <c r="H40" s="5"/>
      <c r="I40" s="5"/>
      <c r="J40" s="5"/>
      <c r="K40" s="5"/>
    </row>
    <row r="41" spans="2:11" ht="15" thickBot="1">
      <c r="B41" s="2423"/>
      <c r="C41" s="2"/>
      <c r="D41" s="32" t="s">
        <v>815</v>
      </c>
      <c r="E41" s="24" t="s">
        <v>816</v>
      </c>
      <c r="F41" s="5"/>
      <c r="G41" s="5"/>
      <c r="H41" s="5"/>
      <c r="I41" s="5"/>
      <c r="J41" s="5"/>
      <c r="K41" s="5"/>
    </row>
    <row r="42" spans="2:11" ht="15" thickBot="1">
      <c r="B42" s="1"/>
      <c r="C42" s="63"/>
      <c r="D42" s="5"/>
      <c r="E42" s="5"/>
      <c r="F42" s="5"/>
      <c r="G42" s="5"/>
      <c r="H42" s="5"/>
      <c r="I42" s="5"/>
      <c r="J42" s="5"/>
      <c r="K42" s="5"/>
    </row>
    <row r="43" spans="2:11" ht="15" thickBot="1">
      <c r="B43" s="2431" t="s">
        <v>817</v>
      </c>
      <c r="C43" s="2432"/>
      <c r="D43" s="2432"/>
      <c r="E43" s="2433"/>
      <c r="F43" s="5"/>
      <c r="G43" s="5"/>
      <c r="H43" s="5"/>
      <c r="I43" s="5"/>
      <c r="J43" s="5"/>
      <c r="K43" s="5"/>
    </row>
    <row r="44" spans="2:11" ht="24.6" thickBot="1">
      <c r="B44" s="2421">
        <v>1</v>
      </c>
      <c r="C44" s="72"/>
      <c r="D44" s="38" t="s">
        <v>808</v>
      </c>
      <c r="E44" s="28" t="s">
        <v>818</v>
      </c>
      <c r="F44" s="5"/>
      <c r="G44" s="5"/>
      <c r="H44" s="5"/>
      <c r="I44" s="5"/>
      <c r="J44" s="5"/>
      <c r="K44" s="5"/>
    </row>
    <row r="45" spans="2:11" ht="36.6" thickBot="1">
      <c r="B45" s="2422"/>
      <c r="C45" s="72"/>
      <c r="D45" s="32" t="s">
        <v>528</v>
      </c>
      <c r="E45" s="28" t="s">
        <v>916</v>
      </c>
      <c r="F45" s="5"/>
      <c r="G45" s="5"/>
      <c r="H45" s="5"/>
      <c r="I45" s="5"/>
      <c r="J45" s="5"/>
      <c r="K45" s="5"/>
    </row>
    <row r="46" spans="2:11" ht="15" thickBot="1">
      <c r="B46" s="2422"/>
      <c r="C46" s="72"/>
      <c r="D46" s="32" t="s">
        <v>811</v>
      </c>
      <c r="E46" s="187"/>
      <c r="F46" s="5"/>
      <c r="G46" s="5"/>
      <c r="H46" s="5"/>
      <c r="I46" s="5"/>
      <c r="J46" s="5"/>
      <c r="K46" s="5"/>
    </row>
    <row r="47" spans="2:11" ht="15" thickBot="1">
      <c r="B47" s="2422"/>
      <c r="C47" s="72"/>
      <c r="D47" s="32" t="s">
        <v>531</v>
      </c>
      <c r="E47" s="187"/>
      <c r="F47" s="5"/>
      <c r="G47" s="5"/>
      <c r="H47" s="5"/>
      <c r="I47" s="5"/>
      <c r="J47" s="5"/>
      <c r="K47" s="5"/>
    </row>
    <row r="48" spans="2:11" ht="15" thickBot="1">
      <c r="B48" s="2422"/>
      <c r="C48" s="72"/>
      <c r="D48" s="32" t="s">
        <v>534</v>
      </c>
      <c r="E48" s="187"/>
      <c r="F48" s="5"/>
      <c r="G48" s="5"/>
      <c r="H48" s="5"/>
      <c r="I48" s="5"/>
      <c r="J48" s="5"/>
      <c r="K48" s="5"/>
    </row>
    <row r="49" spans="2:11" ht="15" thickBot="1">
      <c r="B49" s="2422"/>
      <c r="C49" s="72"/>
      <c r="D49" s="32" t="s">
        <v>537</v>
      </c>
      <c r="E49" s="187"/>
      <c r="F49" s="5"/>
      <c r="G49" s="5"/>
      <c r="H49" s="5"/>
      <c r="I49" s="5"/>
      <c r="J49" s="5"/>
      <c r="K49" s="5"/>
    </row>
    <row r="50" spans="2:11" ht="15" thickBot="1">
      <c r="B50" s="2423"/>
      <c r="C50" s="2"/>
      <c r="D50" s="32" t="s">
        <v>815</v>
      </c>
      <c r="E50" s="187"/>
      <c r="F50" s="5"/>
      <c r="G50" s="5"/>
      <c r="H50" s="5"/>
      <c r="I50" s="5"/>
      <c r="J50" s="5"/>
      <c r="K50" s="5"/>
    </row>
    <row r="51" spans="2:11" ht="15" thickBot="1">
      <c r="B51" s="1"/>
      <c r="C51" s="63"/>
      <c r="D51" s="5"/>
      <c r="E51" s="5"/>
      <c r="F51" s="5"/>
      <c r="G51" s="5"/>
      <c r="H51" s="5"/>
      <c r="I51" s="5"/>
      <c r="J51" s="5"/>
      <c r="K51" s="5"/>
    </row>
    <row r="52" spans="2:11" ht="15" customHeight="1" thickBot="1">
      <c r="B52" s="99" t="s">
        <v>820</v>
      </c>
      <c r="C52" s="100"/>
      <c r="D52" s="100"/>
      <c r="E52" s="101"/>
      <c r="F52" s="5"/>
      <c r="G52" s="5"/>
      <c r="H52" s="5"/>
      <c r="I52" s="5"/>
      <c r="J52" s="5"/>
      <c r="K52" s="5"/>
    </row>
    <row r="53" spans="2:11" ht="15" thickBot="1">
      <c r="B53" s="37" t="s">
        <v>821</v>
      </c>
      <c r="C53" s="32" t="s">
        <v>822</v>
      </c>
      <c r="D53" s="32" t="s">
        <v>823</v>
      </c>
      <c r="E53" s="32" t="s">
        <v>824</v>
      </c>
      <c r="F53" s="5"/>
      <c r="G53" s="5"/>
      <c r="H53" s="5"/>
      <c r="I53" s="5"/>
      <c r="J53" s="5"/>
    </row>
    <row r="54" spans="2:11" ht="60.6" thickBot="1">
      <c r="B54" s="39">
        <v>42401</v>
      </c>
      <c r="C54" s="32">
        <v>0.01</v>
      </c>
      <c r="D54" s="40" t="s">
        <v>1414</v>
      </c>
      <c r="E54" s="32"/>
      <c r="F54" s="5"/>
      <c r="G54" s="5"/>
      <c r="H54" s="5"/>
      <c r="I54" s="5"/>
      <c r="J54" s="5"/>
    </row>
    <row r="55" spans="2:11" ht="15" thickBot="1">
      <c r="B55" s="3"/>
      <c r="C55" s="73"/>
      <c r="D55" s="5"/>
      <c r="E55" s="5"/>
      <c r="F55" s="5"/>
      <c r="G55" s="5"/>
      <c r="H55" s="5"/>
      <c r="I55" s="5"/>
      <c r="J55" s="5"/>
      <c r="K55" s="5"/>
    </row>
    <row r="56" spans="2:11">
      <c r="B56" s="105" t="s">
        <v>702</v>
      </c>
      <c r="C56" s="74"/>
      <c r="D56" s="5"/>
      <c r="E56" s="5"/>
      <c r="F56" s="5"/>
      <c r="G56" s="5"/>
      <c r="H56" s="5"/>
      <c r="I56" s="5"/>
      <c r="J56" s="5"/>
      <c r="K56" s="5"/>
    </row>
    <row r="57" spans="2:11">
      <c r="B57" s="2588"/>
      <c r="C57" s="2589"/>
      <c r="D57" s="2589"/>
      <c r="E57" s="2590"/>
      <c r="F57" s="5"/>
      <c r="G57" s="5"/>
      <c r="H57" s="5"/>
      <c r="I57" s="5"/>
      <c r="J57" s="5"/>
      <c r="K57" s="5"/>
    </row>
    <row r="58" spans="2:11">
      <c r="B58" s="2591"/>
      <c r="C58" s="2592"/>
      <c r="D58" s="2592"/>
      <c r="E58" s="2593"/>
      <c r="F58" s="5"/>
      <c r="G58" s="5"/>
      <c r="H58" s="5"/>
      <c r="I58" s="5"/>
      <c r="J58" s="5"/>
      <c r="K58" s="5"/>
    </row>
    <row r="59" spans="2:11">
      <c r="B59" s="1"/>
      <c r="C59" s="63"/>
      <c r="D59" s="5"/>
      <c r="E59" s="5"/>
      <c r="F59" s="5"/>
      <c r="G59" s="5"/>
      <c r="H59" s="5"/>
      <c r="I59" s="5"/>
      <c r="J59" s="5"/>
      <c r="K59" s="5"/>
    </row>
    <row r="60" spans="2:11" ht="15" thickBot="1">
      <c r="B60" s="5"/>
      <c r="D60" s="5"/>
      <c r="E60" s="5"/>
      <c r="F60" s="5"/>
      <c r="G60" s="5"/>
      <c r="H60" s="5"/>
      <c r="I60" s="5"/>
      <c r="J60" s="5"/>
      <c r="K60" s="5"/>
    </row>
    <row r="61" spans="2:11" ht="24.6" thickBot="1">
      <c r="B61" s="41" t="s">
        <v>1302</v>
      </c>
      <c r="C61" s="75"/>
      <c r="D61" s="5"/>
      <c r="E61" s="5"/>
      <c r="F61" s="5"/>
      <c r="G61" s="5"/>
      <c r="H61" s="5"/>
      <c r="I61" s="5"/>
      <c r="J61" s="5"/>
      <c r="K61" s="5"/>
    </row>
    <row r="62" spans="2:11" ht="15" thickBot="1">
      <c r="B62" s="29"/>
      <c r="C62" s="66"/>
      <c r="D62" s="5"/>
      <c r="E62" s="5"/>
      <c r="F62" s="5"/>
      <c r="G62" s="5"/>
      <c r="H62" s="5"/>
      <c r="I62" s="5"/>
      <c r="J62" s="5"/>
      <c r="K62" s="5"/>
    </row>
    <row r="63" spans="2:11" ht="48.6" thickBot="1">
      <c r="B63" s="42" t="s">
        <v>827</v>
      </c>
      <c r="C63" s="76"/>
      <c r="D63" s="34" t="s">
        <v>1415</v>
      </c>
      <c r="E63" s="5"/>
      <c r="F63" s="5"/>
      <c r="G63" s="5"/>
      <c r="H63" s="5"/>
      <c r="I63" s="5"/>
      <c r="J63" s="5"/>
      <c r="K63" s="5"/>
    </row>
    <row r="64" spans="2:11">
      <c r="B64" s="2421" t="s">
        <v>829</v>
      </c>
      <c r="C64" s="72"/>
      <c r="D64" s="43" t="s">
        <v>830</v>
      </c>
      <c r="E64" s="5"/>
      <c r="F64" s="5"/>
      <c r="G64" s="5"/>
      <c r="H64" s="5"/>
      <c r="I64" s="5"/>
      <c r="J64" s="5"/>
      <c r="K64" s="5"/>
    </row>
    <row r="65" spans="2:11" ht="60">
      <c r="B65" s="2422"/>
      <c r="C65" s="72"/>
      <c r="D65" s="36" t="s">
        <v>1416</v>
      </c>
      <c r="E65" s="5"/>
      <c r="F65" s="5"/>
      <c r="G65" s="5"/>
      <c r="H65" s="5"/>
      <c r="I65" s="5"/>
      <c r="J65" s="5"/>
      <c r="K65" s="5"/>
    </row>
    <row r="66" spans="2:11" ht="24">
      <c r="B66" s="2422"/>
      <c r="C66" s="72"/>
      <c r="D66" s="36" t="s">
        <v>1417</v>
      </c>
      <c r="E66" s="5"/>
      <c r="F66" s="5"/>
      <c r="G66" s="5"/>
      <c r="H66" s="5"/>
      <c r="I66" s="5"/>
      <c r="J66" s="5"/>
      <c r="K66" s="5"/>
    </row>
    <row r="67" spans="2:11">
      <c r="B67" s="2422"/>
      <c r="C67" s="72"/>
      <c r="D67" s="43" t="s">
        <v>833</v>
      </c>
      <c r="E67" s="5"/>
      <c r="F67" s="5"/>
      <c r="G67" s="5"/>
      <c r="H67" s="5"/>
      <c r="I67" s="5"/>
      <c r="J67" s="5"/>
      <c r="K67" s="5"/>
    </row>
    <row r="68" spans="2:11">
      <c r="B68" s="2422"/>
      <c r="C68" s="72"/>
      <c r="D68" s="36" t="s">
        <v>835</v>
      </c>
      <c r="E68" s="5"/>
      <c r="F68" s="5"/>
      <c r="G68" s="5"/>
      <c r="H68" s="5"/>
      <c r="I68" s="5"/>
      <c r="J68" s="5"/>
      <c r="K68" s="5"/>
    </row>
    <row r="69" spans="2:11">
      <c r="B69" s="2422"/>
      <c r="C69" s="72"/>
      <c r="D69" s="43" t="s">
        <v>1085</v>
      </c>
      <c r="E69" s="5"/>
      <c r="F69" s="5"/>
      <c r="G69" s="5"/>
      <c r="H69" s="5"/>
      <c r="I69" s="5"/>
      <c r="J69" s="5"/>
      <c r="K69" s="5"/>
    </row>
    <row r="70" spans="2:11" ht="24">
      <c r="B70" s="2422"/>
      <c r="C70" s="72"/>
      <c r="D70" s="36" t="s">
        <v>1305</v>
      </c>
      <c r="E70" s="5"/>
      <c r="F70" s="5"/>
      <c r="G70" s="5"/>
      <c r="H70" s="5"/>
      <c r="I70" s="5"/>
      <c r="J70" s="5"/>
      <c r="K70" s="5"/>
    </row>
    <row r="71" spans="2:11">
      <c r="B71" s="2422"/>
      <c r="C71" s="72"/>
      <c r="D71" s="36" t="s">
        <v>1418</v>
      </c>
      <c r="E71" s="5"/>
      <c r="F71" s="5"/>
      <c r="G71" s="5"/>
      <c r="H71" s="5"/>
      <c r="I71" s="5"/>
      <c r="J71" s="5"/>
      <c r="K71" s="5"/>
    </row>
    <row r="72" spans="2:11" ht="15" thickBot="1">
      <c r="B72" s="2423"/>
      <c r="C72" s="2"/>
      <c r="D72" s="57"/>
      <c r="E72" s="5"/>
      <c r="F72" s="5"/>
      <c r="G72" s="5"/>
      <c r="H72" s="5"/>
      <c r="I72" s="5"/>
      <c r="J72" s="5"/>
      <c r="K72" s="5"/>
    </row>
    <row r="73" spans="2:11" ht="24.6" thickBot="1">
      <c r="B73" s="37" t="s">
        <v>842</v>
      </c>
      <c r="C73" s="2"/>
      <c r="D73" s="32"/>
      <c r="E73" s="5"/>
      <c r="F73" s="5"/>
      <c r="G73" s="5"/>
      <c r="H73" s="5"/>
      <c r="I73" s="5"/>
      <c r="J73" s="5"/>
      <c r="K73" s="5"/>
    </row>
    <row r="74" spans="2:11" ht="48">
      <c r="B74" s="2421" t="s">
        <v>843</v>
      </c>
      <c r="C74" s="72"/>
      <c r="D74" s="36" t="s">
        <v>1419</v>
      </c>
      <c r="E74" s="5"/>
      <c r="F74" s="5"/>
      <c r="G74" s="5"/>
      <c r="H74" s="5"/>
      <c r="I74" s="5"/>
      <c r="J74" s="5"/>
      <c r="K74" s="5"/>
    </row>
    <row r="75" spans="2:11" ht="84">
      <c r="B75" s="2422"/>
      <c r="C75" s="72"/>
      <c r="D75" s="36" t="s">
        <v>1420</v>
      </c>
      <c r="E75" s="5"/>
      <c r="F75" s="5"/>
      <c r="G75" s="5"/>
      <c r="H75" s="5"/>
      <c r="I75" s="5"/>
      <c r="J75" s="5"/>
      <c r="K75" s="5"/>
    </row>
    <row r="76" spans="2:11" ht="72">
      <c r="B76" s="2422"/>
      <c r="C76" s="72"/>
      <c r="D76" s="36" t="s">
        <v>1421</v>
      </c>
      <c r="E76" s="5"/>
      <c r="F76" s="5"/>
      <c r="G76" s="5"/>
      <c r="H76" s="5"/>
      <c r="I76" s="5"/>
      <c r="J76" s="5"/>
      <c r="K76" s="5"/>
    </row>
    <row r="77" spans="2:11" ht="60">
      <c r="B77" s="2422"/>
      <c r="C77" s="72"/>
      <c r="D77" s="36" t="s">
        <v>1422</v>
      </c>
      <c r="E77" s="5"/>
      <c r="F77" s="5"/>
      <c r="G77" s="5"/>
      <c r="H77" s="5"/>
      <c r="I77" s="5"/>
      <c r="J77" s="5"/>
      <c r="K77" s="5"/>
    </row>
    <row r="78" spans="2:11" ht="72">
      <c r="B78" s="2422"/>
      <c r="C78" s="72"/>
      <c r="D78" s="36" t="s">
        <v>1423</v>
      </c>
      <c r="E78" s="5"/>
      <c r="F78" s="5"/>
      <c r="G78" s="5"/>
      <c r="H78" s="5"/>
      <c r="I78" s="5"/>
      <c r="J78" s="5"/>
      <c r="K78" s="5"/>
    </row>
    <row r="79" spans="2:11" ht="36">
      <c r="B79" s="2422"/>
      <c r="C79" s="72"/>
      <c r="D79" s="36" t="s">
        <v>1424</v>
      </c>
      <c r="E79" s="5"/>
      <c r="F79" s="5"/>
      <c r="G79" s="5"/>
      <c r="H79" s="5"/>
      <c r="I79" s="5"/>
      <c r="J79" s="5"/>
      <c r="K79" s="5"/>
    </row>
    <row r="80" spans="2:11" ht="60.6" thickBot="1">
      <c r="B80" s="2423"/>
      <c r="C80" s="2"/>
      <c r="D80" s="32" t="s">
        <v>1425</v>
      </c>
      <c r="E80" s="5"/>
      <c r="F80" s="5"/>
      <c r="G80" s="5"/>
      <c r="H80" s="5"/>
      <c r="I80" s="5"/>
      <c r="J80" s="5"/>
      <c r="K80" s="5"/>
    </row>
    <row r="81" spans="2:11" ht="24">
      <c r="B81" s="2421" t="s">
        <v>860</v>
      </c>
      <c r="C81" s="72"/>
      <c r="D81" s="43" t="s">
        <v>24</v>
      </c>
      <c r="E81" s="5"/>
      <c r="F81" s="5"/>
      <c r="G81" s="5"/>
      <c r="H81" s="5"/>
      <c r="I81" s="5"/>
      <c r="J81" s="5"/>
      <c r="K81" s="5"/>
    </row>
    <row r="82" spans="2:11">
      <c r="B82" s="2422"/>
      <c r="C82" s="72"/>
      <c r="D82" s="13"/>
      <c r="E82" s="5"/>
      <c r="F82" s="5"/>
      <c r="G82" s="5"/>
      <c r="H82" s="5"/>
      <c r="I82" s="5"/>
      <c r="J82" s="5"/>
      <c r="K82" s="5"/>
    </row>
    <row r="83" spans="2:11">
      <c r="B83" s="2422"/>
      <c r="C83" s="72"/>
      <c r="D83" s="36" t="s">
        <v>861</v>
      </c>
      <c r="E83" s="5"/>
      <c r="F83" s="5"/>
      <c r="G83" s="5"/>
      <c r="H83" s="5"/>
      <c r="I83" s="5"/>
      <c r="J83" s="5"/>
      <c r="K83" s="5"/>
    </row>
    <row r="84" spans="2:11" ht="26.4">
      <c r="B84" s="2422"/>
      <c r="C84" s="72"/>
      <c r="D84" s="36" t="s">
        <v>1426</v>
      </c>
      <c r="E84" s="5"/>
      <c r="F84" s="5"/>
      <c r="G84" s="5"/>
      <c r="H84" s="5"/>
      <c r="I84" s="5"/>
      <c r="J84" s="5"/>
      <c r="K84" s="5"/>
    </row>
    <row r="85" spans="2:11" ht="26.4">
      <c r="B85" s="2422"/>
      <c r="C85" s="72"/>
      <c r="D85" s="36" t="s">
        <v>1427</v>
      </c>
      <c r="E85" s="5"/>
      <c r="F85" s="5"/>
      <c r="G85" s="5"/>
      <c r="H85" s="5"/>
      <c r="I85" s="5"/>
      <c r="J85" s="5"/>
      <c r="K85" s="5"/>
    </row>
    <row r="86" spans="2:11" ht="26.4">
      <c r="B86" s="2422"/>
      <c r="C86" s="72"/>
      <c r="D86" s="36" t="s">
        <v>1428</v>
      </c>
      <c r="E86" s="5"/>
      <c r="F86" s="5"/>
      <c r="G86" s="5"/>
      <c r="H86" s="5"/>
      <c r="I86" s="5"/>
      <c r="J86" s="5"/>
      <c r="K86" s="5"/>
    </row>
    <row r="87" spans="2:11" ht="60">
      <c r="B87" s="2422"/>
      <c r="C87" s="72"/>
      <c r="D87" s="44" t="s">
        <v>1052</v>
      </c>
      <c r="E87" s="5"/>
      <c r="F87" s="5"/>
      <c r="G87" s="5"/>
      <c r="H87" s="5"/>
      <c r="I87" s="5"/>
      <c r="J87" s="5"/>
      <c r="K87" s="5"/>
    </row>
    <row r="88" spans="2:11">
      <c r="B88" s="2422"/>
      <c r="C88" s="72"/>
      <c r="D88" s="43" t="s">
        <v>1021</v>
      </c>
      <c r="E88" s="5"/>
      <c r="F88" s="5"/>
      <c r="G88" s="5"/>
      <c r="H88" s="5"/>
      <c r="I88" s="5"/>
      <c r="J88" s="5"/>
      <c r="K88" s="5"/>
    </row>
    <row r="89" spans="2:11" ht="24">
      <c r="B89" s="2422"/>
      <c r="C89" s="72"/>
      <c r="D89" s="43" t="s">
        <v>1429</v>
      </c>
      <c r="E89" s="5"/>
      <c r="F89" s="5"/>
      <c r="G89" s="5"/>
      <c r="H89" s="5"/>
      <c r="I89" s="5"/>
      <c r="J89" s="5"/>
      <c r="K89" s="5"/>
    </row>
    <row r="90" spans="2:11">
      <c r="B90" s="2422"/>
      <c r="C90" s="72"/>
      <c r="D90" s="43" t="s">
        <v>1430</v>
      </c>
      <c r="E90" s="5"/>
      <c r="F90" s="5"/>
      <c r="G90" s="5"/>
      <c r="H90" s="5"/>
      <c r="I90" s="5"/>
      <c r="J90" s="5"/>
      <c r="K90" s="5"/>
    </row>
    <row r="91" spans="2:11">
      <c r="B91" s="2422"/>
      <c r="C91" s="72"/>
      <c r="D91" s="13"/>
      <c r="E91" s="5"/>
      <c r="F91" s="5"/>
      <c r="G91" s="5"/>
      <c r="H91" s="5"/>
      <c r="I91" s="5"/>
      <c r="J91" s="5"/>
      <c r="K91" s="5"/>
    </row>
    <row r="92" spans="2:11">
      <c r="B92" s="2422"/>
      <c r="C92" s="72"/>
      <c r="D92" s="36" t="s">
        <v>861</v>
      </c>
      <c r="E92" s="5"/>
      <c r="F92" s="5"/>
      <c r="G92" s="5"/>
      <c r="H92" s="5"/>
      <c r="I92" s="5"/>
      <c r="J92" s="5"/>
      <c r="K92" s="5"/>
    </row>
    <row r="93" spans="2:11" ht="26.4">
      <c r="B93" s="2422"/>
      <c r="C93" s="72"/>
      <c r="D93" s="36" t="s">
        <v>1431</v>
      </c>
      <c r="E93" s="5"/>
      <c r="F93" s="5"/>
      <c r="G93" s="5"/>
      <c r="H93" s="5"/>
      <c r="I93" s="5"/>
      <c r="J93" s="5"/>
      <c r="K93" s="5"/>
    </row>
    <row r="94" spans="2:11" ht="51" thickBot="1">
      <c r="B94" s="2423"/>
      <c r="C94" s="2"/>
      <c r="D94" s="32" t="s">
        <v>1432</v>
      </c>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sheetData>
  <sheetProtection insertRows="0"/>
  <mergeCells count="25">
    <mergeCell ref="B10:D10"/>
    <mergeCell ref="F10:S10"/>
    <mergeCell ref="F11:S11"/>
    <mergeCell ref="E12:R12"/>
    <mergeCell ref="E13:R13"/>
    <mergeCell ref="B57:E58"/>
    <mergeCell ref="B64:B72"/>
    <mergeCell ref="B74:B80"/>
    <mergeCell ref="B81:B94"/>
    <mergeCell ref="D15:K15"/>
    <mergeCell ref="D23:K23"/>
    <mergeCell ref="D24:K24"/>
    <mergeCell ref="D25:K25"/>
    <mergeCell ref="D31:K31"/>
    <mergeCell ref="D32:K32"/>
    <mergeCell ref="B34:E34"/>
    <mergeCell ref="B35:B41"/>
    <mergeCell ref="B43:E43"/>
    <mergeCell ref="B44:B50"/>
    <mergeCell ref="B15:B25"/>
    <mergeCell ref="A1:P1"/>
    <mergeCell ref="A2:P2"/>
    <mergeCell ref="A3:P3"/>
    <mergeCell ref="A4:D4"/>
    <mergeCell ref="A5:P5"/>
  </mergeCells>
  <conditionalFormatting sqref="E12:R12">
    <cfRule type="expression" dxfId="67" priority="3">
      <formula>E11="SI SE REPORTA"</formula>
    </cfRule>
  </conditionalFormatting>
  <conditionalFormatting sqref="F10">
    <cfRule type="notContainsBlanks" dxfId="66" priority="6">
      <formula>LEN(TRIM(F10))&gt;0</formula>
    </cfRule>
  </conditionalFormatting>
  <conditionalFormatting sqref="F11:S11">
    <cfRule type="expression" dxfId="65" priority="1">
      <formula>E11="NO SE REPORTA"</formula>
    </cfRule>
    <cfRule type="expression" dxfId="64" priority="2">
      <formula>E10="NO APLICA"</formula>
    </cfRule>
  </conditionalFormatting>
  <dataValidations count="5">
    <dataValidation type="whole" operator="greaterThanOrEqual" allowBlank="1" showInputMessage="1" showErrorMessage="1" errorTitle="ERROR" error="Valor en PESOS (sin centavos)" sqref="G27:J29" xr:uid="{00000000-0002-0000-1300-000000000000}">
      <formula1>0</formula1>
    </dataValidation>
    <dataValidation type="whole" operator="greaterThanOrEqual" allowBlank="1" showInputMessage="1" showErrorMessage="1" errorTitle="ERROR" error="Valor en HECTAREAS (sin decimales)" sqref="F27 E17:H20" xr:uid="{00000000-0002-0000-1300-000001000000}">
      <formula1>0</formula1>
    </dataValidation>
    <dataValidation type="list" allowBlank="1" showInputMessage="1" showErrorMessage="1" sqref="E11" xr:uid="{00000000-0002-0000-1300-000002000000}">
      <formula1>REPORTE</formula1>
    </dataValidation>
    <dataValidation type="list" allowBlank="1" showInputMessage="1" showErrorMessage="1" sqref="E10" xr:uid="{00000000-0002-0000-1300-000003000000}">
      <formula1>SI</formula1>
    </dataValidation>
    <dataValidation type="whole" operator="greaterThanOrEqual" allowBlank="1" showInputMessage="1" showErrorMessage="1" errorTitle="ERROR" error="Valor en HECTAREAS (sin decimales)_x000a_" sqref="F28:F29" xr:uid="{36E1019C-6B03-4A71-AD8E-AE1B7DD66E91}">
      <formula1>0</formula1>
    </dataValidation>
  </dataValidations>
  <hyperlinks>
    <hyperlink ref="B9" location="'ANEXO 3'!A1" display="VOLVER AL INDICE" xr:uid="{00000000-0004-0000-1300-000000000000}"/>
    <hyperlink ref="E39" r:id="rId1" xr:uid="{00000000-0004-0000-1300-000001000000}"/>
  </hyperlinks>
  <pageMargins left="0.25" right="0.25" top="0.75" bottom="0.75" header="0.3" footer="0.3"/>
  <pageSetup paperSize="178" orientation="landscape" horizontalDpi="1200" vertic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dimension ref="A1:U173"/>
  <sheetViews>
    <sheetView topLeftCell="A19" workbookViewId="0">
      <selection activeCell="J23" sqref="J23"/>
    </sheetView>
  </sheetViews>
  <sheetFormatPr baseColWidth="10" defaultColWidth="11.44140625" defaultRowHeight="14.4"/>
  <cols>
    <col min="1" max="1" width="1.88671875" customWidth="1"/>
    <col min="2" max="2" width="12.88671875" customWidth="1"/>
    <col min="3" max="3" width="6.6640625" style="65" customWidth="1"/>
    <col min="4" max="4" width="34.88671875" customWidth="1"/>
    <col min="5" max="5" width="17.44140625" customWidth="1"/>
    <col min="10" max="10" width="75.1093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25</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0" t="s">
        <v>739</v>
      </c>
      <c r="C8" s="540">
        <v>2025</v>
      </c>
      <c r="D8" s="164">
        <f>IF(E10="NO APLICA","NO APLICA",IF(E11="NO SE REPORTA","SIN INFORMACION",+I26))</f>
        <v>1</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99" customHeight="1">
      <c r="B12" s="290"/>
      <c r="C12" s="66"/>
      <c r="D12" s="141" t="str">
        <f>IF(E11="SI SE REPORTA","¿Qué programas o proyectos del Plan de Acción están asociados al indicador? ","")</f>
        <v xml:space="preserve">¿Qué programas o proyectos del Plan de Acción están asociados al indicador? </v>
      </c>
      <c r="E12" s="2500" t="s">
        <v>1433</v>
      </c>
      <c r="F12" s="2500"/>
      <c r="G12" s="2500"/>
      <c r="H12" s="2500"/>
      <c r="I12" s="2500"/>
      <c r="J12" s="2500"/>
      <c r="K12" s="2500"/>
      <c r="L12" s="2500"/>
      <c r="M12" s="2500"/>
      <c r="N12" s="2500"/>
      <c r="O12" s="2500"/>
      <c r="P12" s="2500"/>
      <c r="Q12" s="2500"/>
      <c r="R12" s="2500"/>
    </row>
    <row r="13" spans="1:21" ht="21.9" customHeight="1">
      <c r="B13" s="290"/>
      <c r="C13" s="66"/>
      <c r="D13" s="141" t="s">
        <v>746</v>
      </c>
      <c r="E13" s="2501"/>
      <c r="F13" s="2502"/>
      <c r="G13" s="2502"/>
      <c r="H13" s="2502"/>
      <c r="I13" s="2502"/>
      <c r="J13" s="2502"/>
      <c r="K13" s="2502"/>
      <c r="L13" s="2502"/>
      <c r="M13" s="2502"/>
      <c r="N13" s="2502"/>
      <c r="O13" s="2502"/>
      <c r="P13" s="2502"/>
      <c r="Q13" s="2502"/>
      <c r="R13" s="2503"/>
    </row>
    <row r="14" spans="1:21" ht="6.9" customHeight="1" thickBot="1">
      <c r="B14" s="290"/>
      <c r="D14" s="5"/>
      <c r="E14" s="5"/>
      <c r="F14" s="5"/>
      <c r="G14" s="5"/>
      <c r="H14" s="5"/>
      <c r="I14" s="5"/>
      <c r="J14" s="5"/>
      <c r="K14" s="5"/>
    </row>
    <row r="15" spans="1:21" ht="15" customHeight="1" thickTop="1">
      <c r="B15" s="2672" t="s">
        <v>747</v>
      </c>
      <c r="C15" s="67"/>
      <c r="D15" s="2412" t="s">
        <v>1103</v>
      </c>
      <c r="E15" s="2413"/>
      <c r="F15" s="2413"/>
      <c r="G15" s="2413"/>
      <c r="H15" s="2413"/>
      <c r="I15" s="2413"/>
      <c r="J15" s="2413"/>
      <c r="K15" s="2414"/>
    </row>
    <row r="16" spans="1:21" ht="15" thickBot="1">
      <c r="B16" s="2673"/>
      <c r="C16" s="70"/>
      <c r="D16" s="2674" t="s">
        <v>1434</v>
      </c>
      <c r="E16" s="2675"/>
      <c r="F16" s="2675"/>
      <c r="G16" s="2675"/>
      <c r="H16" s="2675"/>
      <c r="I16" s="2675"/>
      <c r="J16" s="2675"/>
      <c r="K16" s="2676"/>
    </row>
    <row r="17" spans="2:11" ht="15" thickBot="1">
      <c r="B17" s="2673"/>
      <c r="C17" s="68" t="s">
        <v>698</v>
      </c>
      <c r="D17" s="30" t="s">
        <v>1004</v>
      </c>
      <c r="E17" s="68" t="s">
        <v>784</v>
      </c>
      <c r="F17" s="30" t="s">
        <v>593</v>
      </c>
      <c r="G17" s="30" t="s">
        <v>594</v>
      </c>
      <c r="H17" s="30" t="s">
        <v>595</v>
      </c>
      <c r="I17" s="30" t="s">
        <v>1435</v>
      </c>
      <c r="K17" s="17"/>
    </row>
    <row r="18" spans="2:11" ht="29.25" customHeight="1" thickBot="1">
      <c r="B18" s="2673"/>
      <c r="C18" s="69" t="s">
        <v>906</v>
      </c>
      <c r="D18" s="32" t="s">
        <v>1436</v>
      </c>
      <c r="E18" s="494">
        <v>4</v>
      </c>
      <c r="F18" s="494">
        <v>4</v>
      </c>
      <c r="G18" s="494"/>
      <c r="H18" s="494"/>
      <c r="I18" s="501">
        <f>SUM(E18:H18)</f>
        <v>8</v>
      </c>
      <c r="J18" s="306"/>
      <c r="K18" s="17"/>
    </row>
    <row r="19" spans="2:11" ht="21.75" customHeight="1" thickBot="1">
      <c r="B19" s="2673"/>
      <c r="C19" s="70"/>
      <c r="D19" s="2467" t="s">
        <v>1437</v>
      </c>
      <c r="E19" s="2468"/>
      <c r="F19" s="2468"/>
      <c r="G19" s="2468"/>
      <c r="H19" s="2468"/>
      <c r="I19" s="2468"/>
      <c r="J19" s="2468"/>
      <c r="K19" s="2469"/>
    </row>
    <row r="20" spans="2:11" ht="15" customHeight="1" thickBot="1">
      <c r="B20" s="168"/>
      <c r="C20" s="2554" t="s">
        <v>698</v>
      </c>
      <c r="D20" s="2677" t="s">
        <v>1023</v>
      </c>
      <c r="E20" s="2677" t="s">
        <v>1438</v>
      </c>
      <c r="F20" s="2679" t="s">
        <v>1439</v>
      </c>
      <c r="G20" s="2680"/>
      <c r="H20" s="2680"/>
      <c r="I20" s="2680"/>
      <c r="J20" s="2681"/>
      <c r="K20" s="91"/>
    </row>
    <row r="21" spans="2:11" ht="21" thickBot="1">
      <c r="B21" s="168"/>
      <c r="C21" s="2556"/>
      <c r="D21" s="2678"/>
      <c r="E21" s="2678"/>
      <c r="F21" s="686" t="s">
        <v>1440</v>
      </c>
      <c r="G21" s="686" t="s">
        <v>1441</v>
      </c>
      <c r="H21" s="686" t="s">
        <v>1442</v>
      </c>
      <c r="I21" s="686" t="s">
        <v>1443</v>
      </c>
      <c r="J21" s="686" t="s">
        <v>702</v>
      </c>
      <c r="K21" s="92"/>
    </row>
    <row r="22" spans="2:11" ht="96" customHeight="1" thickBot="1">
      <c r="B22" s="168"/>
      <c r="C22" s="25"/>
      <c r="D22" s="621" t="s">
        <v>1444</v>
      </c>
      <c r="E22" s="512" t="s">
        <v>1445</v>
      </c>
      <c r="F22" s="433">
        <v>0.5</v>
      </c>
      <c r="G22" s="433">
        <v>1</v>
      </c>
      <c r="H22" s="448">
        <v>0.25</v>
      </c>
      <c r="I22" s="665">
        <f>+G22*H22</f>
        <v>0.25</v>
      </c>
      <c r="J22" s="799" t="s">
        <v>2078</v>
      </c>
      <c r="K22" s="92"/>
    </row>
    <row r="23" spans="2:11" ht="75" customHeight="1" thickBot="1">
      <c r="B23" s="168"/>
      <c r="C23" s="25"/>
      <c r="D23" s="621" t="s">
        <v>1446</v>
      </c>
      <c r="E23" s="512" t="s">
        <v>1447</v>
      </c>
      <c r="F23" s="433">
        <v>0.5</v>
      </c>
      <c r="G23" s="433">
        <v>1</v>
      </c>
      <c r="H23" s="448">
        <v>0.25</v>
      </c>
      <c r="I23" s="665">
        <f t="shared" ref="I23:I25" si="0">+G23*H23</f>
        <v>0.25</v>
      </c>
      <c r="J23" s="432" t="s">
        <v>2077</v>
      </c>
      <c r="K23" s="92"/>
    </row>
    <row r="24" spans="2:11" ht="81.75" customHeight="1" thickBot="1">
      <c r="B24" s="168"/>
      <c r="C24" s="25"/>
      <c r="D24" s="621" t="s">
        <v>1448</v>
      </c>
      <c r="E24" s="512" t="s">
        <v>1449</v>
      </c>
      <c r="F24" s="433">
        <v>0.5</v>
      </c>
      <c r="G24" s="433">
        <v>1</v>
      </c>
      <c r="H24" s="448">
        <v>0.25</v>
      </c>
      <c r="I24" s="665">
        <f t="shared" si="0"/>
        <v>0.25</v>
      </c>
      <c r="J24" s="432" t="s">
        <v>2079</v>
      </c>
      <c r="K24" s="92"/>
    </row>
    <row r="25" spans="2:11" ht="77.25" customHeight="1" thickBot="1">
      <c r="B25" s="168"/>
      <c r="C25" s="216"/>
      <c r="D25" s="621" t="s">
        <v>1450</v>
      </c>
      <c r="E25" s="512" t="s">
        <v>1451</v>
      </c>
      <c r="F25" s="433">
        <v>0.5</v>
      </c>
      <c r="G25" s="433">
        <v>1</v>
      </c>
      <c r="H25" s="448">
        <v>0.25</v>
      </c>
      <c r="I25" s="665">
        <f t="shared" si="0"/>
        <v>0.25</v>
      </c>
      <c r="J25" s="437" t="s">
        <v>2080</v>
      </c>
      <c r="K25" s="92"/>
    </row>
    <row r="26" spans="2:11" ht="21.75" customHeight="1" thickBot="1">
      <c r="B26" s="168"/>
      <c r="C26" s="69"/>
      <c r="D26" s="31" t="s">
        <v>905</v>
      </c>
      <c r="E26" s="31"/>
      <c r="F26" s="31"/>
      <c r="G26" s="31"/>
      <c r="H26" s="129">
        <f>Formulas!D20</f>
        <v>1</v>
      </c>
      <c r="I26" s="119">
        <f>Formulas!E20</f>
        <v>1</v>
      </c>
      <c r="J26" s="32"/>
      <c r="K26" s="93"/>
    </row>
    <row r="27" spans="2:11" ht="15" thickBot="1">
      <c r="B27" s="37"/>
      <c r="C27" s="71"/>
      <c r="D27" s="2424" t="s">
        <v>1452</v>
      </c>
      <c r="E27" s="2425"/>
      <c r="F27" s="2425"/>
      <c r="G27" s="2425"/>
      <c r="H27" s="2425"/>
      <c r="I27" s="2425"/>
      <c r="J27" s="2425"/>
      <c r="K27" s="2426"/>
    </row>
    <row r="28" spans="2:11" ht="27" customHeight="1" thickBot="1">
      <c r="B28" s="37" t="s">
        <v>803</v>
      </c>
      <c r="C28" s="71"/>
      <c r="D28" s="2424" t="s">
        <v>1453</v>
      </c>
      <c r="E28" s="2425"/>
      <c r="F28" s="2425"/>
      <c r="G28" s="2425"/>
      <c r="H28" s="2425"/>
      <c r="I28" s="2425"/>
      <c r="J28" s="2425"/>
      <c r="K28" s="2426"/>
    </row>
    <row r="29" spans="2:11" ht="30.75" customHeight="1" thickBot="1">
      <c r="B29" s="37" t="s">
        <v>805</v>
      </c>
      <c r="C29" s="71"/>
      <c r="D29" s="2424" t="s">
        <v>1454</v>
      </c>
      <c r="E29" s="2425"/>
      <c r="F29" s="2425"/>
      <c r="G29" s="2425"/>
      <c r="H29" s="2425"/>
      <c r="I29" s="2425"/>
      <c r="J29" s="2425"/>
      <c r="K29" s="2426"/>
    </row>
    <row r="30" spans="2:11" ht="15" thickBot="1">
      <c r="B30" s="1"/>
      <c r="C30" s="63"/>
      <c r="D30" s="5"/>
      <c r="E30" s="5"/>
      <c r="F30" s="5"/>
      <c r="G30" s="5"/>
      <c r="H30" s="5"/>
      <c r="I30" s="5"/>
      <c r="J30" s="5"/>
      <c r="K30" s="5"/>
    </row>
    <row r="31" spans="2:11" ht="24" customHeight="1" thickBot="1">
      <c r="B31" s="2431" t="s">
        <v>807</v>
      </c>
      <c r="C31" s="2432"/>
      <c r="D31" s="2432"/>
      <c r="E31" s="2433"/>
      <c r="F31" s="5"/>
      <c r="G31" s="5"/>
      <c r="H31" s="5"/>
      <c r="I31" s="5"/>
      <c r="J31" s="5"/>
      <c r="K31" s="5"/>
    </row>
    <row r="32" spans="2:11" ht="26.25" customHeight="1" thickBot="1">
      <c r="B32" s="2421">
        <v>1</v>
      </c>
      <c r="C32" s="72"/>
      <c r="D32" s="38" t="s">
        <v>808</v>
      </c>
      <c r="E32" s="936" t="s">
        <v>809</v>
      </c>
      <c r="F32" s="5"/>
      <c r="G32" s="5"/>
      <c r="H32" s="5"/>
      <c r="I32" s="5"/>
      <c r="J32" s="5"/>
      <c r="K32" s="5"/>
    </row>
    <row r="33" spans="2:11" ht="24.6" thickBot="1">
      <c r="B33" s="2422"/>
      <c r="C33" s="72"/>
      <c r="D33" s="32" t="s">
        <v>528</v>
      </c>
      <c r="E33" s="24" t="s">
        <v>810</v>
      </c>
      <c r="F33" s="5"/>
      <c r="G33" s="5"/>
      <c r="H33" s="5"/>
      <c r="I33" s="5"/>
      <c r="J33" s="5"/>
      <c r="K33" s="5"/>
    </row>
    <row r="34" spans="2:11" ht="15" thickBot="1">
      <c r="B34" s="2422"/>
      <c r="C34" s="72"/>
      <c r="D34" s="32" t="s">
        <v>811</v>
      </c>
      <c r="E34" s="24" t="s">
        <v>915</v>
      </c>
      <c r="F34" s="5"/>
      <c r="G34" s="5"/>
      <c r="H34" s="5"/>
      <c r="I34" s="5"/>
      <c r="J34" s="5"/>
      <c r="K34" s="5"/>
    </row>
    <row r="35" spans="2:11" ht="24.6" thickBot="1">
      <c r="B35" s="2422"/>
      <c r="C35" s="72"/>
      <c r="D35" s="32" t="s">
        <v>531</v>
      </c>
      <c r="E35" s="24" t="s">
        <v>813</v>
      </c>
      <c r="F35" s="5"/>
      <c r="G35" s="5"/>
      <c r="H35" s="5"/>
      <c r="I35" s="5"/>
      <c r="J35" s="5"/>
      <c r="K35" s="5"/>
    </row>
    <row r="36" spans="2:11" ht="29.4" thickBot="1">
      <c r="B36" s="2422"/>
      <c r="C36" s="72"/>
      <c r="D36" s="32" t="s">
        <v>534</v>
      </c>
      <c r="E36" s="505" t="s">
        <v>814</v>
      </c>
      <c r="F36" s="5"/>
      <c r="G36" s="5"/>
      <c r="H36" s="5"/>
      <c r="I36" s="5"/>
      <c r="J36" s="5"/>
      <c r="K36" s="5"/>
    </row>
    <row r="37" spans="2:11" ht="15" thickBot="1">
      <c r="B37" s="2422"/>
      <c r="C37" s="72"/>
      <c r="D37" s="32" t="s">
        <v>537</v>
      </c>
      <c r="E37" s="131">
        <v>3686626</v>
      </c>
      <c r="F37" s="5"/>
      <c r="G37" s="5"/>
      <c r="H37" s="5"/>
      <c r="I37" s="5"/>
      <c r="J37" s="5"/>
      <c r="K37" s="5"/>
    </row>
    <row r="38" spans="2:11" ht="24.6" thickBot="1">
      <c r="B38" s="2423"/>
      <c r="C38" s="2"/>
      <c r="D38" s="32" t="s">
        <v>815</v>
      </c>
      <c r="E38" s="24" t="s">
        <v>816</v>
      </c>
      <c r="F38" s="5"/>
      <c r="G38" s="5"/>
      <c r="H38" s="5"/>
      <c r="I38" s="5"/>
      <c r="J38" s="5"/>
      <c r="K38" s="5"/>
    </row>
    <row r="39" spans="2:11" ht="15" thickBot="1">
      <c r="B39" s="1"/>
      <c r="C39" s="63"/>
      <c r="D39" s="5"/>
      <c r="E39" s="5"/>
      <c r="F39" s="5"/>
      <c r="G39" s="5"/>
      <c r="H39" s="5"/>
      <c r="I39" s="5"/>
      <c r="J39" s="5"/>
      <c r="K39" s="5"/>
    </row>
    <row r="40" spans="2:11" ht="15" thickBot="1">
      <c r="B40" s="2431" t="s">
        <v>817</v>
      </c>
      <c r="C40" s="2432"/>
      <c r="D40" s="2432"/>
      <c r="E40" s="2433"/>
      <c r="F40" s="5"/>
      <c r="G40" s="5"/>
      <c r="H40" s="5"/>
      <c r="I40" s="5"/>
      <c r="J40" s="5"/>
      <c r="K40" s="5"/>
    </row>
    <row r="41" spans="2:11" ht="36.6" thickBot="1">
      <c r="B41" s="2421">
        <v>1</v>
      </c>
      <c r="C41" s="72"/>
      <c r="D41" s="38" t="s">
        <v>808</v>
      </c>
      <c r="E41" s="28" t="s">
        <v>818</v>
      </c>
      <c r="F41" s="5"/>
      <c r="G41" s="5"/>
      <c r="H41" s="5"/>
      <c r="I41" s="5"/>
      <c r="J41" s="5"/>
      <c r="K41" s="5"/>
    </row>
    <row r="42" spans="2:11" ht="72.599999999999994" thickBot="1">
      <c r="B42" s="2422"/>
      <c r="C42" s="72"/>
      <c r="D42" s="32" t="s">
        <v>528</v>
      </c>
      <c r="E42" s="28" t="s">
        <v>819</v>
      </c>
      <c r="F42" s="5"/>
      <c r="G42" s="5"/>
      <c r="H42" s="5"/>
      <c r="I42" s="5"/>
      <c r="J42" s="5"/>
      <c r="K42" s="5"/>
    </row>
    <row r="43" spans="2:11" ht="15" thickBot="1">
      <c r="B43" s="2422"/>
      <c r="C43" s="72"/>
      <c r="D43" s="32" t="s">
        <v>811</v>
      </c>
      <c r="E43" s="187"/>
      <c r="F43" s="5"/>
      <c r="G43" s="5"/>
      <c r="H43" s="5"/>
      <c r="I43" s="5"/>
      <c r="J43" s="5"/>
      <c r="K43" s="5"/>
    </row>
    <row r="44" spans="2:11" ht="15" thickBot="1">
      <c r="B44" s="2422"/>
      <c r="C44" s="72"/>
      <c r="D44" s="32" t="s">
        <v>531</v>
      </c>
      <c r="E44" s="187"/>
      <c r="F44" s="5"/>
      <c r="G44" s="5"/>
      <c r="H44" s="5"/>
      <c r="I44" s="5"/>
      <c r="J44" s="5"/>
      <c r="K44" s="5"/>
    </row>
    <row r="45" spans="2:11" ht="15" thickBot="1">
      <c r="B45" s="2422"/>
      <c r="C45" s="72"/>
      <c r="D45" s="32" t="s">
        <v>534</v>
      </c>
      <c r="E45" s="187"/>
      <c r="F45" s="5"/>
      <c r="G45" s="5"/>
      <c r="H45" s="5"/>
      <c r="I45" s="5"/>
      <c r="J45" s="5"/>
      <c r="K45" s="5"/>
    </row>
    <row r="46" spans="2:11" ht="15" thickBot="1">
      <c r="B46" s="2422"/>
      <c r="C46" s="72"/>
      <c r="D46" s="32" t="s">
        <v>537</v>
      </c>
      <c r="E46" s="187"/>
      <c r="F46" s="5"/>
      <c r="G46" s="5"/>
      <c r="H46" s="5"/>
      <c r="I46" s="5"/>
      <c r="J46" s="5"/>
      <c r="K46" s="5"/>
    </row>
    <row r="47" spans="2:11" ht="15" thickBot="1">
      <c r="B47" s="2423"/>
      <c r="C47" s="2"/>
      <c r="D47" s="32" t="s">
        <v>815</v>
      </c>
      <c r="E47" s="187"/>
      <c r="F47" s="5"/>
      <c r="G47" s="5"/>
      <c r="H47" s="5"/>
      <c r="I47" s="5"/>
      <c r="J47" s="5"/>
      <c r="K47" s="5"/>
    </row>
    <row r="48" spans="2:11" ht="15" thickBot="1">
      <c r="B48" s="1"/>
      <c r="C48" s="63"/>
      <c r="D48" s="5"/>
      <c r="E48" s="5"/>
      <c r="F48" s="5"/>
      <c r="G48" s="5"/>
      <c r="H48" s="5"/>
      <c r="I48" s="5"/>
      <c r="J48" s="5"/>
      <c r="K48" s="5"/>
    </row>
    <row r="49" spans="2:11" ht="15" customHeight="1" thickBot="1">
      <c r="B49" s="99" t="s">
        <v>820</v>
      </c>
      <c r="C49" s="100"/>
      <c r="D49" s="100"/>
      <c r="E49" s="101"/>
      <c r="G49" s="5"/>
      <c r="H49" s="5"/>
      <c r="I49" s="5"/>
      <c r="J49" s="5"/>
      <c r="K49" s="5"/>
    </row>
    <row r="50" spans="2:11" ht="24.6" thickBot="1">
      <c r="B50" s="37" t="s">
        <v>821</v>
      </c>
      <c r="C50" s="32" t="s">
        <v>822</v>
      </c>
      <c r="D50" s="32" t="s">
        <v>823</v>
      </c>
      <c r="E50" s="32" t="s">
        <v>824</v>
      </c>
      <c r="F50" s="5"/>
      <c r="G50" s="5"/>
      <c r="H50" s="5"/>
      <c r="I50" s="5"/>
      <c r="J50" s="5"/>
    </row>
    <row r="51" spans="2:11" ht="60.6" thickBot="1">
      <c r="B51" s="39">
        <v>42401</v>
      </c>
      <c r="C51" s="32">
        <v>0.01</v>
      </c>
      <c r="D51" s="32" t="s">
        <v>1455</v>
      </c>
      <c r="E51" s="32"/>
      <c r="F51" s="5"/>
      <c r="G51" s="5"/>
      <c r="H51" s="5"/>
      <c r="I51" s="5"/>
      <c r="J51" s="5"/>
    </row>
    <row r="52" spans="2:11" ht="15" thickBot="1">
      <c r="B52" s="1"/>
      <c r="C52" s="63"/>
      <c r="D52" s="5"/>
      <c r="E52" s="5"/>
      <c r="F52" s="5"/>
      <c r="G52" s="5"/>
      <c r="H52" s="5"/>
      <c r="I52" s="5"/>
      <c r="J52" s="5"/>
      <c r="K52" s="5"/>
    </row>
    <row r="53" spans="2:11" ht="15" thickBot="1">
      <c r="B53" s="105" t="s">
        <v>702</v>
      </c>
      <c r="C53" s="74"/>
      <c r="D53" s="5"/>
      <c r="E53" s="5"/>
      <c r="F53" s="5"/>
      <c r="G53" s="5"/>
      <c r="H53" s="5"/>
      <c r="I53" s="5"/>
      <c r="J53" s="5"/>
      <c r="K53" s="5"/>
    </row>
    <row r="54" spans="2:11" ht="11.25" customHeight="1" thickBot="1">
      <c r="B54" s="2504"/>
      <c r="C54" s="2505"/>
      <c r="D54" s="2505"/>
      <c r="E54" s="2506"/>
      <c r="F54" s="5"/>
      <c r="G54" s="5"/>
      <c r="H54" s="5"/>
      <c r="I54" s="5"/>
      <c r="J54" s="5"/>
      <c r="K54" s="5"/>
    </row>
    <row r="55" spans="2:11" ht="8.25" customHeight="1" thickBot="1">
      <c r="B55" s="5"/>
      <c r="D55" s="5"/>
      <c r="E55" s="5"/>
      <c r="F55" s="5"/>
      <c r="G55" s="5"/>
      <c r="H55" s="5"/>
      <c r="I55" s="5"/>
      <c r="J55" s="5"/>
      <c r="K55" s="5"/>
    </row>
    <row r="56" spans="2:11" ht="15" thickBot="1">
      <c r="B56" s="2431" t="s">
        <v>1302</v>
      </c>
      <c r="C56" s="2432"/>
      <c r="D56" s="2433"/>
      <c r="E56" s="5"/>
      <c r="F56" s="5"/>
      <c r="G56" s="5"/>
      <c r="H56" s="5"/>
      <c r="I56" s="5"/>
      <c r="J56" s="5"/>
      <c r="K56" s="5"/>
    </row>
    <row r="57" spans="2:11" ht="60.6" thickBot="1">
      <c r="B57" s="37" t="s">
        <v>827</v>
      </c>
      <c r="C57" s="2"/>
      <c r="D57" s="32" t="s">
        <v>1456</v>
      </c>
      <c r="E57" s="5"/>
      <c r="F57" s="5"/>
      <c r="G57" s="5"/>
      <c r="H57" s="5"/>
      <c r="I57" s="5"/>
      <c r="J57" s="5"/>
      <c r="K57" s="5"/>
    </row>
    <row r="58" spans="2:11">
      <c r="B58" s="2421" t="s">
        <v>829</v>
      </c>
      <c r="C58" s="72"/>
      <c r="D58" s="43" t="s">
        <v>830</v>
      </c>
      <c r="E58" s="5"/>
      <c r="F58" s="5"/>
      <c r="G58" s="5"/>
      <c r="H58" s="5"/>
      <c r="I58" s="5"/>
      <c r="J58" s="5"/>
      <c r="K58" s="5"/>
    </row>
    <row r="59" spans="2:11" ht="108">
      <c r="B59" s="2422"/>
      <c r="C59" s="72"/>
      <c r="D59" s="36" t="s">
        <v>1457</v>
      </c>
      <c r="E59" s="5"/>
      <c r="F59" s="5"/>
      <c r="G59" s="5"/>
      <c r="H59" s="5"/>
      <c r="I59" s="5"/>
      <c r="J59" s="5"/>
      <c r="K59" s="5"/>
    </row>
    <row r="60" spans="2:11">
      <c r="B60" s="2422"/>
      <c r="C60" s="72"/>
      <c r="D60" s="43" t="s">
        <v>833</v>
      </c>
      <c r="E60" s="5"/>
      <c r="F60" s="5"/>
      <c r="G60" s="5"/>
      <c r="H60" s="5"/>
      <c r="I60" s="5"/>
      <c r="J60" s="5"/>
      <c r="K60" s="5"/>
    </row>
    <row r="61" spans="2:11">
      <c r="B61" s="2422"/>
      <c r="C61" s="72"/>
      <c r="D61" s="36" t="s">
        <v>1458</v>
      </c>
      <c r="E61" s="5"/>
      <c r="F61" s="5"/>
      <c r="G61" s="5"/>
      <c r="H61" s="5"/>
      <c r="I61" s="5"/>
      <c r="J61" s="5"/>
      <c r="K61" s="5"/>
    </row>
    <row r="62" spans="2:11">
      <c r="B62" s="2422"/>
      <c r="C62" s="72"/>
      <c r="D62" s="36" t="s">
        <v>1459</v>
      </c>
      <c r="E62" s="5"/>
      <c r="F62" s="5"/>
      <c r="G62" s="5"/>
      <c r="H62" s="5"/>
      <c r="I62" s="5"/>
      <c r="J62" s="5"/>
      <c r="K62" s="5"/>
    </row>
    <row r="63" spans="2:11" ht="24">
      <c r="B63" s="2422"/>
      <c r="C63" s="72"/>
      <c r="D63" s="36" t="s">
        <v>1460</v>
      </c>
      <c r="E63" s="5"/>
      <c r="F63" s="5"/>
      <c r="G63" s="5"/>
      <c r="H63" s="5"/>
      <c r="I63" s="5"/>
      <c r="J63" s="5"/>
      <c r="K63" s="5"/>
    </row>
    <row r="64" spans="2:11">
      <c r="B64" s="2422"/>
      <c r="C64" s="72"/>
      <c r="D64" s="36" t="s">
        <v>1461</v>
      </c>
      <c r="E64" s="5"/>
      <c r="F64" s="5"/>
      <c r="G64" s="5"/>
      <c r="H64" s="5"/>
      <c r="I64" s="5"/>
      <c r="J64" s="5"/>
      <c r="K64" s="5"/>
    </row>
    <row r="65" spans="2:11">
      <c r="B65" s="2422"/>
      <c r="C65" s="72"/>
      <c r="D65" s="36" t="s">
        <v>1462</v>
      </c>
      <c r="E65" s="5"/>
      <c r="F65" s="5"/>
      <c r="G65" s="5"/>
      <c r="H65" s="5"/>
      <c r="I65" s="5"/>
      <c r="J65" s="5"/>
      <c r="K65" s="5"/>
    </row>
    <row r="66" spans="2:11">
      <c r="B66" s="2422"/>
      <c r="C66" s="72"/>
      <c r="D66" s="36" t="s">
        <v>1463</v>
      </c>
      <c r="E66" s="5"/>
      <c r="F66" s="5"/>
      <c r="G66" s="5"/>
      <c r="H66" s="5"/>
      <c r="I66" s="5"/>
      <c r="J66" s="5"/>
      <c r="K66" s="5"/>
    </row>
    <row r="67" spans="2:11">
      <c r="B67" s="2422"/>
      <c r="C67" s="72"/>
      <c r="D67" s="43" t="s">
        <v>1085</v>
      </c>
      <c r="E67" s="5"/>
      <c r="F67" s="5"/>
      <c r="G67" s="5"/>
      <c r="H67" s="5"/>
      <c r="I67" s="5"/>
      <c r="J67" s="5"/>
      <c r="K67" s="5"/>
    </row>
    <row r="68" spans="2:11" ht="36">
      <c r="B68" s="2422"/>
      <c r="C68" s="72"/>
      <c r="D68" s="36" t="s">
        <v>1464</v>
      </c>
      <c r="E68" s="5"/>
      <c r="F68" s="5"/>
      <c r="G68" s="5"/>
      <c r="H68" s="5"/>
      <c r="I68" s="5"/>
      <c r="J68" s="5"/>
      <c r="K68" s="5"/>
    </row>
    <row r="69" spans="2:11" ht="15" thickBot="1">
      <c r="B69" s="2423"/>
      <c r="C69" s="2"/>
      <c r="D69" s="57"/>
      <c r="E69" s="5"/>
      <c r="F69" s="5"/>
      <c r="G69" s="5"/>
      <c r="H69" s="5"/>
      <c r="I69" s="5"/>
      <c r="J69" s="5"/>
      <c r="K69" s="5"/>
    </row>
    <row r="70" spans="2:11">
      <c r="B70" s="2421" t="s">
        <v>842</v>
      </c>
      <c r="C70" s="77"/>
      <c r="D70" s="2421"/>
      <c r="E70" s="5"/>
      <c r="F70" s="5"/>
      <c r="G70" s="5"/>
      <c r="H70" s="5"/>
      <c r="I70" s="5"/>
      <c r="J70" s="5"/>
      <c r="K70" s="5"/>
    </row>
    <row r="71" spans="2:11" ht="15" thickBot="1">
      <c r="B71" s="2423"/>
      <c r="C71" s="78"/>
      <c r="D71" s="2423"/>
      <c r="E71" s="5"/>
      <c r="F71" s="5"/>
      <c r="G71" s="5"/>
      <c r="H71" s="5"/>
      <c r="I71" s="5"/>
      <c r="J71" s="5"/>
      <c r="K71" s="5"/>
    </row>
    <row r="72" spans="2:11" ht="15" thickBot="1">
      <c r="B72" s="29"/>
      <c r="C72" s="66"/>
      <c r="D72" s="5"/>
      <c r="E72" s="5"/>
      <c r="F72" s="5"/>
      <c r="G72" s="5"/>
      <c r="H72" s="5"/>
      <c r="I72" s="5"/>
      <c r="J72" s="5"/>
      <c r="K72" s="5"/>
    </row>
    <row r="73" spans="2:11" ht="156">
      <c r="B73" s="2421" t="s">
        <v>843</v>
      </c>
      <c r="C73" s="83"/>
      <c r="D73" s="53" t="s">
        <v>1465</v>
      </c>
      <c r="E73" s="5"/>
      <c r="F73" s="5"/>
      <c r="G73" s="5"/>
      <c r="H73" s="5"/>
      <c r="I73" s="5"/>
      <c r="J73" s="5"/>
      <c r="K73" s="5"/>
    </row>
    <row r="74" spans="2:11" ht="180">
      <c r="B74" s="2422"/>
      <c r="C74" s="72"/>
      <c r="D74" s="36" t="s">
        <v>1466</v>
      </c>
      <c r="E74" s="5"/>
      <c r="F74" s="5"/>
      <c r="G74" s="5"/>
      <c r="H74" s="5"/>
      <c r="I74" s="5"/>
      <c r="J74" s="5"/>
      <c r="K74" s="5"/>
    </row>
    <row r="75" spans="2:11" ht="48">
      <c r="B75" s="2422"/>
      <c r="C75" s="72"/>
      <c r="D75" s="36" t="s">
        <v>1467</v>
      </c>
      <c r="E75" s="5"/>
      <c r="F75" s="5"/>
      <c r="G75" s="5"/>
      <c r="H75" s="5"/>
      <c r="I75" s="5"/>
      <c r="J75" s="5"/>
      <c r="K75" s="5"/>
    </row>
    <row r="76" spans="2:11" ht="24">
      <c r="B76" s="2422"/>
      <c r="C76" s="72"/>
      <c r="D76" s="36" t="s">
        <v>1468</v>
      </c>
      <c r="E76" s="5"/>
      <c r="F76" s="5"/>
      <c r="G76" s="5"/>
      <c r="H76" s="5"/>
      <c r="I76" s="5"/>
      <c r="J76" s="5"/>
      <c r="K76" s="5"/>
    </row>
    <row r="77" spans="2:11" ht="48">
      <c r="B77" s="2422"/>
      <c r="C77" s="72"/>
      <c r="D77" s="36" t="s">
        <v>1469</v>
      </c>
      <c r="E77" s="5"/>
      <c r="F77" s="5"/>
      <c r="G77" s="5"/>
      <c r="H77" s="5"/>
      <c r="I77" s="5"/>
      <c r="J77" s="5"/>
      <c r="K77" s="5"/>
    </row>
    <row r="78" spans="2:11" ht="24">
      <c r="B78" s="2422"/>
      <c r="C78" s="72"/>
      <c r="D78" s="36" t="s">
        <v>1470</v>
      </c>
      <c r="E78" s="5"/>
      <c r="F78" s="5"/>
      <c r="G78" s="5"/>
      <c r="H78" s="5"/>
      <c r="I78" s="5"/>
      <c r="J78" s="5"/>
      <c r="K78" s="5"/>
    </row>
    <row r="79" spans="2:11">
      <c r="B79" s="2422"/>
      <c r="C79" s="72"/>
      <c r="D79" s="36" t="s">
        <v>1471</v>
      </c>
      <c r="E79" s="5"/>
      <c r="F79" s="5"/>
      <c r="G79" s="5"/>
      <c r="H79" s="5"/>
      <c r="I79" s="5"/>
      <c r="J79" s="5"/>
      <c r="K79" s="5"/>
    </row>
    <row r="80" spans="2:11" ht="24">
      <c r="B80" s="2422"/>
      <c r="C80" s="72"/>
      <c r="D80" s="36" t="s">
        <v>1472</v>
      </c>
      <c r="E80" s="5"/>
      <c r="F80" s="5"/>
      <c r="G80" s="5"/>
      <c r="H80" s="5"/>
      <c r="I80" s="5"/>
      <c r="J80" s="5"/>
      <c r="K80" s="5"/>
    </row>
    <row r="81" spans="2:11" ht="24">
      <c r="B81" s="2422"/>
      <c r="C81" s="72"/>
      <c r="D81" s="36" t="s">
        <v>1473</v>
      </c>
      <c r="E81" s="5"/>
      <c r="F81" s="5"/>
      <c r="G81" s="5"/>
      <c r="H81" s="5"/>
      <c r="I81" s="5"/>
      <c r="J81" s="5"/>
      <c r="K81" s="5"/>
    </row>
    <row r="82" spans="2:11" ht="24">
      <c r="B82" s="2422"/>
      <c r="C82" s="72"/>
      <c r="D82" s="36" t="s">
        <v>1474</v>
      </c>
      <c r="E82" s="5"/>
      <c r="F82" s="5"/>
      <c r="G82" s="5"/>
      <c r="H82" s="5"/>
      <c r="I82" s="5"/>
      <c r="J82" s="5"/>
      <c r="K82" s="5"/>
    </row>
    <row r="83" spans="2:11" ht="24">
      <c r="B83" s="2422"/>
      <c r="C83" s="72"/>
      <c r="D83" s="36" t="s">
        <v>1475</v>
      </c>
      <c r="E83" s="5"/>
      <c r="F83" s="5"/>
      <c r="G83" s="5"/>
      <c r="H83" s="5"/>
      <c r="I83" s="5"/>
      <c r="J83" s="5"/>
      <c r="K83" s="5"/>
    </row>
    <row r="84" spans="2:11" ht="36">
      <c r="B84" s="2422"/>
      <c r="C84" s="72"/>
      <c r="D84" s="36" t="s">
        <v>1476</v>
      </c>
      <c r="E84" s="5"/>
      <c r="F84" s="5"/>
      <c r="G84" s="5"/>
      <c r="H84" s="5"/>
      <c r="I84" s="5"/>
      <c r="J84" s="5"/>
      <c r="K84" s="5"/>
    </row>
    <row r="85" spans="2:11" ht="24">
      <c r="B85" s="2422"/>
      <c r="C85" s="72"/>
      <c r="D85" s="36" t="s">
        <v>1477</v>
      </c>
      <c r="E85" s="5"/>
      <c r="F85" s="5"/>
      <c r="G85" s="5"/>
      <c r="H85" s="5"/>
      <c r="I85" s="5"/>
      <c r="J85" s="5"/>
      <c r="K85" s="5"/>
    </row>
    <row r="86" spans="2:11" ht="48.6" thickBot="1">
      <c r="B86" s="2423"/>
      <c r="C86" s="2"/>
      <c r="D86" s="32" t="s">
        <v>1478</v>
      </c>
      <c r="E86" s="5"/>
      <c r="F86" s="5"/>
      <c r="G86" s="5"/>
      <c r="H86" s="5"/>
      <c r="I86" s="5"/>
      <c r="J86" s="5"/>
      <c r="K86" s="5"/>
    </row>
    <row r="87" spans="2:11" ht="36">
      <c r="B87" s="2421" t="s">
        <v>860</v>
      </c>
      <c r="C87" s="72"/>
      <c r="D87" s="43" t="s">
        <v>1479</v>
      </c>
      <c r="E87" s="5"/>
      <c r="F87" s="5"/>
      <c r="G87" s="5"/>
      <c r="H87" s="5"/>
      <c r="I87" s="5"/>
      <c r="J87" s="5"/>
      <c r="K87" s="5"/>
    </row>
    <row r="88" spans="2:11" ht="36">
      <c r="B88" s="2422"/>
      <c r="C88" s="72"/>
      <c r="D88" s="36" t="s">
        <v>1480</v>
      </c>
      <c r="E88" s="5"/>
      <c r="F88" s="5"/>
      <c r="G88" s="5"/>
      <c r="H88" s="5"/>
      <c r="I88" s="5"/>
      <c r="J88" s="5"/>
      <c r="K88" s="5"/>
    </row>
    <row r="89" spans="2:11">
      <c r="B89" s="2422"/>
      <c r="C89" s="72"/>
      <c r="D89" s="13"/>
      <c r="E89" s="5"/>
      <c r="F89" s="5"/>
      <c r="G89" s="5"/>
      <c r="H89" s="5"/>
      <c r="I89" s="5"/>
      <c r="J89" s="5"/>
      <c r="K89" s="5"/>
    </row>
    <row r="90" spans="2:11">
      <c r="B90" s="2422"/>
      <c r="C90" s="72"/>
      <c r="D90" s="36" t="s">
        <v>861</v>
      </c>
      <c r="E90" s="5"/>
      <c r="F90" s="5"/>
      <c r="G90" s="5"/>
      <c r="H90" s="5"/>
      <c r="I90" s="5"/>
      <c r="J90" s="5"/>
      <c r="K90" s="5"/>
    </row>
    <row r="91" spans="2:11" ht="38.4">
      <c r="B91" s="2422"/>
      <c r="C91" s="72"/>
      <c r="D91" s="36" t="s">
        <v>1481</v>
      </c>
      <c r="E91" s="5"/>
      <c r="F91" s="5"/>
      <c r="G91" s="5"/>
      <c r="H91" s="5"/>
      <c r="I91" s="5"/>
      <c r="J91" s="5"/>
      <c r="K91" s="5"/>
    </row>
    <row r="92" spans="2:11" ht="38.4">
      <c r="B92" s="2422"/>
      <c r="C92" s="72"/>
      <c r="D92" s="36" t="s">
        <v>1482</v>
      </c>
      <c r="E92" s="5"/>
      <c r="F92" s="5"/>
      <c r="G92" s="5"/>
      <c r="H92" s="5"/>
      <c r="I92" s="5"/>
      <c r="J92" s="5"/>
      <c r="K92" s="5"/>
    </row>
    <row r="93" spans="2:11" ht="26.4">
      <c r="B93" s="2422"/>
      <c r="C93" s="72"/>
      <c r="D93" s="36" t="s">
        <v>1483</v>
      </c>
      <c r="E93" s="5"/>
      <c r="F93" s="5"/>
      <c r="G93" s="5"/>
      <c r="H93" s="5"/>
      <c r="I93" s="5"/>
      <c r="J93" s="5"/>
      <c r="K93" s="5"/>
    </row>
    <row r="94" spans="2:11">
      <c r="B94" s="2422"/>
      <c r="C94" s="72"/>
      <c r="D94" s="36" t="s">
        <v>1484</v>
      </c>
      <c r="E94" s="5"/>
      <c r="F94" s="5"/>
      <c r="G94" s="5"/>
      <c r="H94" s="5"/>
      <c r="I94" s="5"/>
      <c r="J94" s="5"/>
      <c r="K94" s="5"/>
    </row>
    <row r="95" spans="2:11" ht="36.6" thickBot="1">
      <c r="B95" s="2423"/>
      <c r="C95" s="2"/>
      <c r="D95" s="59" t="s">
        <v>1485</v>
      </c>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sheetData>
  <mergeCells count="32">
    <mergeCell ref="B10:D10"/>
    <mergeCell ref="F10:S10"/>
    <mergeCell ref="F11:S11"/>
    <mergeCell ref="E12:R12"/>
    <mergeCell ref="E13:R13"/>
    <mergeCell ref="B73:B86"/>
    <mergeCell ref="B87:B95"/>
    <mergeCell ref="B56:D56"/>
    <mergeCell ref="B58:B69"/>
    <mergeCell ref="B70:B71"/>
    <mergeCell ref="D70:D71"/>
    <mergeCell ref="B15:B19"/>
    <mergeCell ref="B41:B47"/>
    <mergeCell ref="B54:E54"/>
    <mergeCell ref="D15:K15"/>
    <mergeCell ref="D16:K16"/>
    <mergeCell ref="D19:K19"/>
    <mergeCell ref="D27:K27"/>
    <mergeCell ref="C20:C21"/>
    <mergeCell ref="D20:D21"/>
    <mergeCell ref="E20:E21"/>
    <mergeCell ref="F20:J20"/>
    <mergeCell ref="D28:K28"/>
    <mergeCell ref="D29:K29"/>
    <mergeCell ref="B31:E31"/>
    <mergeCell ref="B32:B38"/>
    <mergeCell ref="B40:E40"/>
    <mergeCell ref="A1:P1"/>
    <mergeCell ref="A2:P2"/>
    <mergeCell ref="A3:P3"/>
    <mergeCell ref="A4:D4"/>
    <mergeCell ref="A5:P5"/>
  </mergeCells>
  <conditionalFormatting sqref="E12:R12">
    <cfRule type="expression" dxfId="63" priority="1">
      <formula>E11="SI SE REPORTA"</formula>
    </cfRule>
  </conditionalFormatting>
  <conditionalFormatting sqref="F10">
    <cfRule type="notContainsBlanks" dxfId="62" priority="4">
      <formula>LEN(TRIM(F10))&gt;0</formula>
    </cfRule>
  </conditionalFormatting>
  <conditionalFormatting sqref="F11:S11">
    <cfRule type="expression" dxfId="61" priority="2">
      <formula>E11="NO SE REPORTA"</formula>
    </cfRule>
    <cfRule type="expression" dxfId="60" priority="3">
      <formula>E10="NO APLICA"</formula>
    </cfRule>
  </conditionalFormatting>
  <conditionalFormatting sqref="H26">
    <cfRule type="containsText" dxfId="59" priority="5" operator="containsText" text="ERROR">
      <formula>NOT(ISERROR(SEARCH("ERROR",H26)))</formula>
    </cfRule>
  </conditionalFormatting>
  <dataValidations count="5">
    <dataValidation type="whole" operator="greaterThanOrEqual" allowBlank="1" showErrorMessage="1" errorTitle="ERROR" error="Escriba un número igual o mayor que 0" promptTitle="ERROR" prompt="Escriba un número igual o mayor que 0" sqref="E18:H18" xr:uid="{00000000-0002-0000-1400-000000000000}">
      <formula1>0</formula1>
    </dataValidation>
    <dataValidation allowBlank="1" showInputMessage="1" showErrorMessage="1" sqref="H26 I22:I26" xr:uid="{00000000-0002-0000-1400-000002000000}"/>
    <dataValidation type="list" allowBlank="1" showInputMessage="1" showErrorMessage="1" sqref="E11" xr:uid="{00000000-0002-0000-1400-000003000000}">
      <formula1>REPORTE</formula1>
    </dataValidation>
    <dataValidation type="list" allowBlank="1" showInputMessage="1" showErrorMessage="1" sqref="E10" xr:uid="{00000000-0002-0000-1400-000004000000}">
      <formula1>SI</formula1>
    </dataValidation>
    <dataValidation type="decimal" allowBlank="1" showInputMessage="1" showErrorMessage="1" errorTitle="ERROR" error="Escriba un valor entre 0% y 100%" sqref="G24:G25 H22:H25 G22 F22:F25" xr:uid="{00000000-0002-0000-1400-000001000000}">
      <formula1>0</formula1>
      <formula2>1</formula2>
    </dataValidation>
  </dataValidations>
  <hyperlinks>
    <hyperlink ref="B9" location="'ANEXO 3'!A1" display="VOLVER AL INDICE" xr:uid="{00000000-0004-0000-1400-000000000000}"/>
    <hyperlink ref="E36" r:id="rId1" xr:uid="{00000000-0004-0000-1400-000001000000}"/>
  </hyperlinks>
  <pageMargins left="0.25" right="0.25" top="0.75" bottom="0.75" header="0.3" footer="0.3"/>
  <pageSetup paperSize="178" orientation="landscape"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dimension ref="A1:U178"/>
  <sheetViews>
    <sheetView topLeftCell="A22" workbookViewId="0">
      <selection activeCell="J20" sqref="J20"/>
    </sheetView>
  </sheetViews>
  <sheetFormatPr baseColWidth="10" defaultColWidth="11.44140625" defaultRowHeight="14.4"/>
  <cols>
    <col min="1" max="1" width="1.88671875" customWidth="1"/>
    <col min="2" max="2" width="12.88671875" customWidth="1"/>
    <col min="3" max="3" width="6.6640625" style="65" customWidth="1"/>
    <col min="4" max="4" width="41.6640625" customWidth="1"/>
    <col min="5" max="5" width="19.6640625" customWidth="1"/>
    <col min="10" max="10" width="50.4414062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26</v>
      </c>
      <c r="B5" s="2393"/>
      <c r="C5" s="2393"/>
      <c r="D5" s="2393"/>
      <c r="E5" s="2393"/>
      <c r="F5" s="2393"/>
      <c r="G5" s="2393"/>
      <c r="H5" s="2393"/>
      <c r="I5" s="2393"/>
      <c r="J5" s="2393"/>
      <c r="K5" s="2393"/>
      <c r="L5" s="2393"/>
      <c r="M5" s="2393"/>
      <c r="N5" s="2393"/>
      <c r="O5" s="2393"/>
      <c r="P5" s="2394"/>
    </row>
    <row r="6" spans="1:21">
      <c r="B6" s="1" t="s">
        <v>736</v>
      </c>
      <c r="C6" s="63"/>
      <c r="D6" s="5"/>
      <c r="E6" s="939"/>
      <c r="F6" s="5" t="s">
        <v>737</v>
      </c>
      <c r="G6" s="5"/>
      <c r="H6" s="5"/>
      <c r="I6" s="5"/>
      <c r="J6" s="5"/>
      <c r="K6" s="5"/>
    </row>
    <row r="7" spans="1:21" ht="15" thickBot="1">
      <c r="B7" s="62"/>
      <c r="C7" s="64"/>
      <c r="D7" s="5"/>
      <c r="E7" s="940"/>
      <c r="F7" s="5" t="s">
        <v>738</v>
      </c>
      <c r="G7" s="5"/>
      <c r="H7" s="5"/>
      <c r="I7" s="5"/>
      <c r="J7" s="5"/>
      <c r="K7" s="5"/>
    </row>
    <row r="8" spans="1:21" ht="15" thickBot="1">
      <c r="B8" s="141" t="s">
        <v>739</v>
      </c>
      <c r="C8" s="539">
        <v>2025</v>
      </c>
      <c r="D8" s="938">
        <f>IF(E10="NO APLICA","NO APLICA",IF(E11="NO SE REPORTA","SIN INFORMACION",+F22))</f>
        <v>1</v>
      </c>
      <c r="E8" s="94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127.5" customHeight="1">
      <c r="B12" s="290"/>
      <c r="C12" s="66"/>
      <c r="D12" s="141" t="str">
        <f>IF(E11="SI SE REPORTA","¿Qué programas o proyectos del Plan de Acción están asociados al indicador? ","")</f>
        <v xml:space="preserve">¿Qué programas o proyectos del Plan de Acción están asociados al indicador? </v>
      </c>
      <c r="E12" s="2547" t="s">
        <v>1486</v>
      </c>
      <c r="F12" s="2547"/>
      <c r="G12" s="2547"/>
      <c r="H12" s="2547"/>
      <c r="I12" s="2547"/>
      <c r="J12" s="2547"/>
      <c r="K12" s="2547"/>
      <c r="L12" s="2547"/>
      <c r="M12" s="2547"/>
      <c r="N12" s="2547"/>
      <c r="O12" s="2547"/>
      <c r="P12" s="2547"/>
      <c r="Q12" s="2547"/>
      <c r="R12" s="2547"/>
    </row>
    <row r="13" spans="1:21" ht="17.25" customHeight="1">
      <c r="B13" s="290"/>
      <c r="C13" s="66"/>
      <c r="D13" s="141" t="s">
        <v>746</v>
      </c>
      <c r="E13" s="2501"/>
      <c r="F13" s="2502"/>
      <c r="G13" s="2502"/>
      <c r="H13" s="2502"/>
      <c r="I13" s="2502"/>
      <c r="J13" s="2502"/>
      <c r="K13" s="2502"/>
      <c r="L13" s="2502"/>
      <c r="M13" s="2502"/>
      <c r="N13" s="2502"/>
      <c r="O13" s="2502"/>
      <c r="P13" s="2502"/>
      <c r="Q13" s="2502"/>
      <c r="R13" s="2503"/>
    </row>
    <row r="14" spans="1:21" ht="6.9" customHeight="1" thickBot="1">
      <c r="B14" s="290"/>
      <c r="D14" s="5"/>
      <c r="E14" s="5"/>
      <c r="F14" s="5"/>
      <c r="G14" s="5"/>
      <c r="H14" s="5"/>
      <c r="I14" s="5"/>
      <c r="J14" s="5"/>
      <c r="K14" s="5"/>
    </row>
    <row r="15" spans="1:21" ht="15" thickBot="1">
      <c r="B15" s="2421" t="s">
        <v>747</v>
      </c>
      <c r="C15" s="67"/>
      <c r="D15" s="2412" t="s">
        <v>748</v>
      </c>
      <c r="E15" s="2413"/>
      <c r="F15" s="2413"/>
      <c r="G15" s="2413"/>
      <c r="H15" s="2413"/>
      <c r="I15" s="2414"/>
      <c r="J15" s="5"/>
      <c r="K15" s="5"/>
    </row>
    <row r="16" spans="1:21" ht="47.25" customHeight="1" thickBot="1">
      <c r="B16" s="2422"/>
      <c r="C16" s="72"/>
      <c r="D16" s="34" t="s">
        <v>1487</v>
      </c>
      <c r="E16" s="494">
        <v>22</v>
      </c>
      <c r="F16" s="5"/>
      <c r="G16" s="5"/>
      <c r="H16" s="5"/>
      <c r="I16" s="17"/>
      <c r="J16" s="5"/>
      <c r="K16" s="5"/>
    </row>
    <row r="17" spans="2:11" ht="66.75" customHeight="1" thickBot="1">
      <c r="B17" s="2422"/>
      <c r="C17" s="72"/>
      <c r="D17" s="32" t="s">
        <v>1488</v>
      </c>
      <c r="E17" s="494">
        <v>22</v>
      </c>
      <c r="F17" s="5"/>
      <c r="G17" s="5"/>
      <c r="H17" s="5"/>
      <c r="I17" s="17"/>
      <c r="J17" s="5"/>
      <c r="K17" s="5"/>
    </row>
    <row r="18" spans="2:11" ht="15" thickBot="1">
      <c r="B18" s="2422"/>
      <c r="C18" s="70"/>
      <c r="D18" s="2434"/>
      <c r="E18" s="2435"/>
      <c r="F18" s="2435"/>
      <c r="G18" s="2435"/>
      <c r="H18" s="2435"/>
      <c r="I18" s="2436"/>
      <c r="J18" s="5"/>
      <c r="K18" s="5"/>
    </row>
    <row r="19" spans="2:11" ht="21.75" customHeight="1" thickBot="1">
      <c r="B19" s="2422"/>
      <c r="C19" s="72"/>
      <c r="D19" s="545" t="s">
        <v>904</v>
      </c>
      <c r="E19" s="547" t="s">
        <v>794</v>
      </c>
      <c r="F19" s="547" t="s">
        <v>593</v>
      </c>
      <c r="G19" s="547" t="s">
        <v>594</v>
      </c>
      <c r="H19" s="547" t="s">
        <v>595</v>
      </c>
      <c r="I19" s="547" t="s">
        <v>905</v>
      </c>
      <c r="J19" s="855" t="s">
        <v>2081</v>
      </c>
      <c r="K19" s="5"/>
    </row>
    <row r="20" spans="2:11" ht="53.25" customHeight="1" thickBot="1">
      <c r="B20" s="2422"/>
      <c r="C20" s="72"/>
      <c r="D20" s="32" t="s">
        <v>1489</v>
      </c>
      <c r="E20" s="494">
        <v>22</v>
      </c>
      <c r="F20" s="494">
        <v>22</v>
      </c>
      <c r="G20" s="494"/>
      <c r="H20" s="494"/>
      <c r="I20" s="851">
        <f>SUM(E20:H20)</f>
        <v>44</v>
      </c>
      <c r="J20" s="852" t="s">
        <v>2139</v>
      </c>
      <c r="K20" s="5"/>
    </row>
    <row r="21" spans="2:11" ht="36.6" thickBot="1">
      <c r="B21" s="2422"/>
      <c r="C21" s="72"/>
      <c r="D21" s="32" t="s">
        <v>1490</v>
      </c>
      <c r="E21" s="494">
        <v>22</v>
      </c>
      <c r="F21" s="494">
        <v>22</v>
      </c>
      <c r="G21" s="494"/>
      <c r="H21" s="494"/>
      <c r="I21" s="851">
        <f>SUM(E21:H21)</f>
        <v>44</v>
      </c>
      <c r="J21" s="853"/>
      <c r="K21" s="5"/>
    </row>
    <row r="22" spans="2:11" ht="36.6" thickBot="1">
      <c r="B22" s="2423"/>
      <c r="C22" s="2"/>
      <c r="D22" s="32" t="s">
        <v>1491</v>
      </c>
      <c r="E22" s="118">
        <f>IFERROR(E21/E20,0)</f>
        <v>1</v>
      </c>
      <c r="F22" s="118">
        <f>IFERROR(F21/F20,0)</f>
        <v>1</v>
      </c>
      <c r="G22" s="118">
        <f>IFERROR(G21/G20,0)</f>
        <v>0</v>
      </c>
      <c r="H22" s="118">
        <f>IFERROR(H21/H20,0)</f>
        <v>0</v>
      </c>
      <c r="I22" s="268">
        <f>IFERROR(I21/I20,0)</f>
        <v>1</v>
      </c>
      <c r="J22" s="854"/>
      <c r="K22" s="5"/>
    </row>
    <row r="23" spans="2:11" ht="36" customHeight="1" thickBot="1">
      <c r="B23" s="37" t="s">
        <v>803</v>
      </c>
      <c r="C23" s="71"/>
      <c r="D23" s="2424" t="s">
        <v>1492</v>
      </c>
      <c r="E23" s="2425"/>
      <c r="F23" s="2425"/>
      <c r="G23" s="2425"/>
      <c r="H23" s="2425"/>
      <c r="I23" s="2426"/>
      <c r="J23" s="5"/>
      <c r="K23" s="5"/>
    </row>
    <row r="24" spans="2:11" ht="36" customHeight="1" thickBot="1">
      <c r="B24" s="37" t="s">
        <v>805</v>
      </c>
      <c r="C24" s="71"/>
      <c r="D24" s="2424" t="s">
        <v>913</v>
      </c>
      <c r="E24" s="2425"/>
      <c r="F24" s="2425"/>
      <c r="G24" s="2425"/>
      <c r="H24" s="2425"/>
      <c r="I24" s="2426"/>
      <c r="J24" s="5"/>
      <c r="K24" s="5"/>
    </row>
    <row r="25" spans="2:11" ht="15" thickBot="1">
      <c r="B25" s="29"/>
      <c r="C25" s="66"/>
      <c r="D25" s="5"/>
      <c r="E25" s="5"/>
      <c r="F25" s="5"/>
      <c r="G25" s="5"/>
      <c r="H25" s="5"/>
      <c r="I25" s="5"/>
      <c r="J25" s="5"/>
      <c r="K25" s="5"/>
    </row>
    <row r="26" spans="2:11" ht="24" customHeight="1" thickBot="1">
      <c r="B26" s="2431" t="s">
        <v>807</v>
      </c>
      <c r="C26" s="2432"/>
      <c r="D26" s="2432"/>
      <c r="E26" s="2433"/>
      <c r="F26" s="5"/>
      <c r="G26" s="5"/>
      <c r="H26" s="5"/>
      <c r="I26" s="5"/>
      <c r="J26" s="5"/>
      <c r="K26" s="5"/>
    </row>
    <row r="27" spans="2:11" ht="25.5" customHeight="1" thickBot="1">
      <c r="B27" s="2421">
        <v>1</v>
      </c>
      <c r="C27" s="72"/>
      <c r="D27" s="38" t="s">
        <v>808</v>
      </c>
      <c r="E27" s="937" t="s">
        <v>809</v>
      </c>
      <c r="F27" s="5"/>
      <c r="G27" s="5"/>
      <c r="H27" s="5"/>
      <c r="I27" s="5"/>
      <c r="J27" s="5"/>
      <c r="K27" s="5"/>
    </row>
    <row r="28" spans="2:11" ht="24.6" thickBot="1">
      <c r="B28" s="2422"/>
      <c r="C28" s="72"/>
      <c r="D28" s="32" t="s">
        <v>528</v>
      </c>
      <c r="E28" s="24" t="s">
        <v>941</v>
      </c>
      <c r="F28" s="5"/>
      <c r="G28" s="5"/>
      <c r="H28" s="5"/>
      <c r="I28" s="5"/>
      <c r="J28" s="5"/>
      <c r="K28" s="5"/>
    </row>
    <row r="29" spans="2:11" ht="15" thickBot="1">
      <c r="B29" s="2422"/>
      <c r="C29" s="72"/>
      <c r="D29" s="32" t="s">
        <v>811</v>
      </c>
      <c r="E29" s="24" t="s">
        <v>1493</v>
      </c>
      <c r="F29" s="5"/>
      <c r="G29" s="5"/>
      <c r="H29" s="5"/>
      <c r="I29" s="5"/>
      <c r="J29" s="5"/>
      <c r="K29" s="5"/>
    </row>
    <row r="30" spans="2:11" ht="15" thickBot="1">
      <c r="B30" s="2422"/>
      <c r="C30" s="72"/>
      <c r="D30" s="32" t="s">
        <v>531</v>
      </c>
      <c r="E30" s="24" t="s">
        <v>986</v>
      </c>
      <c r="F30" s="5"/>
      <c r="G30" s="5"/>
      <c r="H30" s="5"/>
      <c r="I30" s="5"/>
      <c r="J30" s="5"/>
      <c r="K30" s="5"/>
    </row>
    <row r="31" spans="2:11" ht="29.4" thickBot="1">
      <c r="B31" s="2422"/>
      <c r="C31" s="72"/>
      <c r="D31" s="32" t="s">
        <v>534</v>
      </c>
      <c r="E31" s="490" t="s">
        <v>1494</v>
      </c>
      <c r="F31" s="5"/>
      <c r="G31" s="5"/>
      <c r="H31" s="5"/>
      <c r="I31" s="5"/>
      <c r="J31" s="5"/>
      <c r="K31" s="5"/>
    </row>
    <row r="32" spans="2:11" ht="15" thickBot="1">
      <c r="B32" s="2422"/>
      <c r="C32" s="72"/>
      <c r="D32" s="32" t="s">
        <v>537</v>
      </c>
      <c r="E32" s="24" t="s">
        <v>945</v>
      </c>
      <c r="F32" s="5"/>
      <c r="G32" s="5"/>
      <c r="H32" s="5"/>
      <c r="I32" s="5"/>
      <c r="J32" s="5"/>
      <c r="K32" s="5"/>
    </row>
    <row r="33" spans="2:11" ht="15" thickBot="1">
      <c r="B33" s="2423"/>
      <c r="C33" s="2"/>
      <c r="D33" s="32" t="s">
        <v>815</v>
      </c>
      <c r="E33" s="24" t="s">
        <v>816</v>
      </c>
      <c r="F33" s="5"/>
      <c r="G33" s="5"/>
      <c r="H33" s="5"/>
      <c r="I33" s="5"/>
      <c r="J33" s="5"/>
      <c r="K33" s="5"/>
    </row>
    <row r="34" spans="2:11" ht="15" thickBot="1">
      <c r="B34" s="1"/>
      <c r="C34" s="63"/>
      <c r="D34" s="5"/>
      <c r="E34" s="5"/>
      <c r="F34" s="5"/>
      <c r="G34" s="5"/>
      <c r="H34" s="5"/>
      <c r="I34" s="5"/>
      <c r="J34" s="5"/>
      <c r="K34" s="5"/>
    </row>
    <row r="35" spans="2:11" ht="15" thickBot="1">
      <c r="B35" s="2431" t="s">
        <v>817</v>
      </c>
      <c r="C35" s="2432"/>
      <c r="D35" s="2432"/>
      <c r="E35" s="2433"/>
      <c r="F35" s="5"/>
      <c r="G35" s="5"/>
      <c r="H35" s="5"/>
      <c r="I35" s="5"/>
      <c r="J35" s="5"/>
      <c r="K35" s="5"/>
    </row>
    <row r="36" spans="2:11" ht="40.5" customHeight="1" thickBot="1">
      <c r="B36" s="2421">
        <v>1</v>
      </c>
      <c r="C36" s="72"/>
      <c r="D36" s="38" t="s">
        <v>808</v>
      </c>
      <c r="E36" s="28" t="s">
        <v>818</v>
      </c>
      <c r="F36" s="5"/>
      <c r="G36" s="5"/>
      <c r="H36" s="5"/>
      <c r="I36" s="5"/>
      <c r="J36" s="5"/>
      <c r="K36" s="5"/>
    </row>
    <row r="37" spans="2:11" ht="72" customHeight="1" thickBot="1">
      <c r="B37" s="2422"/>
      <c r="C37" s="72"/>
      <c r="D37" s="32" t="s">
        <v>528</v>
      </c>
      <c r="E37" s="28" t="s">
        <v>916</v>
      </c>
      <c r="F37" s="5"/>
      <c r="G37" s="5"/>
      <c r="H37" s="5"/>
      <c r="I37" s="5"/>
      <c r="J37" s="5"/>
      <c r="K37" s="5"/>
    </row>
    <row r="38" spans="2:11" ht="15" thickBot="1">
      <c r="B38" s="2422"/>
      <c r="C38" s="72"/>
      <c r="D38" s="32" t="s">
        <v>811</v>
      </c>
      <c r="E38" s="187"/>
      <c r="F38" s="5"/>
      <c r="G38" s="5"/>
      <c r="H38" s="5"/>
      <c r="I38" s="5"/>
      <c r="J38" s="5"/>
      <c r="K38" s="5"/>
    </row>
    <row r="39" spans="2:11" ht="15" thickBot="1">
      <c r="B39" s="2422"/>
      <c r="C39" s="72"/>
      <c r="D39" s="32" t="s">
        <v>531</v>
      </c>
      <c r="E39" s="187"/>
      <c r="F39" s="5"/>
      <c r="G39" s="5"/>
      <c r="H39" s="5"/>
      <c r="I39" s="5"/>
      <c r="J39" s="5"/>
      <c r="K39" s="5"/>
    </row>
    <row r="40" spans="2:11" ht="15" thickBot="1">
      <c r="B40" s="2422"/>
      <c r="C40" s="72"/>
      <c r="D40" s="32" t="s">
        <v>534</v>
      </c>
      <c r="E40" s="187"/>
      <c r="F40" s="5"/>
      <c r="G40" s="5"/>
      <c r="H40" s="5"/>
      <c r="I40" s="5"/>
      <c r="J40" s="5"/>
      <c r="K40" s="5"/>
    </row>
    <row r="41" spans="2:11" ht="15" thickBot="1">
      <c r="B41" s="2422"/>
      <c r="C41" s="72"/>
      <c r="D41" s="32" t="s">
        <v>537</v>
      </c>
      <c r="E41" s="187"/>
      <c r="F41" s="5"/>
      <c r="G41" s="5"/>
      <c r="H41" s="5"/>
      <c r="I41" s="5"/>
      <c r="J41" s="5"/>
      <c r="K41" s="5"/>
    </row>
    <row r="42" spans="2:11" ht="15" thickBot="1">
      <c r="B42" s="2423"/>
      <c r="C42" s="2"/>
      <c r="D42" s="32" t="s">
        <v>815</v>
      </c>
      <c r="E42" s="187"/>
      <c r="F42" s="5"/>
      <c r="G42" s="5"/>
      <c r="H42" s="5"/>
      <c r="I42" s="5"/>
      <c r="J42" s="5"/>
      <c r="K42" s="5"/>
    </row>
    <row r="43" spans="2:11" ht="15" thickBot="1">
      <c r="B43" s="29"/>
      <c r="C43" s="66"/>
      <c r="D43" s="5"/>
      <c r="E43" s="5"/>
      <c r="F43" s="5"/>
      <c r="G43" s="5"/>
      <c r="H43" s="5"/>
      <c r="I43" s="5"/>
      <c r="J43" s="5"/>
      <c r="K43" s="5"/>
    </row>
    <row r="44" spans="2:11" ht="15" customHeight="1" thickBot="1">
      <c r="B44" s="96" t="s">
        <v>820</v>
      </c>
      <c r="C44" s="97"/>
      <c r="D44" s="97"/>
      <c r="E44" s="98"/>
      <c r="G44" s="5"/>
      <c r="H44" s="5"/>
      <c r="I44" s="5"/>
      <c r="J44" s="5"/>
      <c r="K44" s="5"/>
    </row>
    <row r="45" spans="2:11" ht="15" thickBot="1">
      <c r="B45" s="37" t="s">
        <v>821</v>
      </c>
      <c r="C45" s="32" t="s">
        <v>822</v>
      </c>
      <c r="D45" s="32" t="s">
        <v>823</v>
      </c>
      <c r="E45" s="32" t="s">
        <v>824</v>
      </c>
      <c r="F45" s="5"/>
      <c r="G45" s="5"/>
      <c r="H45" s="5"/>
      <c r="I45" s="5"/>
      <c r="J45" s="5"/>
    </row>
    <row r="46" spans="2:11" ht="60.6" thickBot="1">
      <c r="B46" s="39">
        <v>42401</v>
      </c>
      <c r="C46" s="32">
        <v>0.01</v>
      </c>
      <c r="D46" s="40" t="s">
        <v>1495</v>
      </c>
      <c r="E46" s="32"/>
      <c r="F46" s="5"/>
      <c r="G46" s="5"/>
      <c r="H46" s="5"/>
      <c r="I46" s="5"/>
      <c r="J46" s="5"/>
    </row>
    <row r="47" spans="2:11" ht="7.5" customHeight="1" thickBot="1">
      <c r="B47" s="3"/>
      <c r="C47" s="73"/>
      <c r="D47" s="5"/>
      <c r="E47" s="5"/>
      <c r="F47" s="5"/>
      <c r="G47" s="5"/>
      <c r="H47" s="5"/>
      <c r="I47" s="5"/>
      <c r="J47" s="5"/>
      <c r="K47" s="5"/>
    </row>
    <row r="48" spans="2:11" ht="15" thickBot="1">
      <c r="B48" s="105" t="s">
        <v>702</v>
      </c>
      <c r="C48" s="74"/>
      <c r="D48" s="5"/>
      <c r="E48" s="5"/>
      <c r="F48" s="5"/>
      <c r="G48" s="5"/>
      <c r="H48" s="5"/>
      <c r="I48" s="5"/>
      <c r="J48" s="5"/>
      <c r="K48" s="5"/>
    </row>
    <row r="49" spans="2:11" ht="15" thickBot="1">
      <c r="B49" s="2504"/>
      <c r="C49" s="2505"/>
      <c r="D49" s="2505"/>
      <c r="E49" s="2506"/>
      <c r="F49" s="5"/>
      <c r="G49" s="5"/>
      <c r="H49" s="5"/>
      <c r="I49" s="5"/>
      <c r="J49" s="5"/>
      <c r="K49" s="5"/>
    </row>
    <row r="50" spans="2:11" ht="6" customHeight="1" thickBot="1">
      <c r="B50" s="5"/>
      <c r="D50" s="5"/>
      <c r="E50" s="5"/>
      <c r="F50" s="5"/>
      <c r="G50" s="5"/>
      <c r="H50" s="5"/>
      <c r="I50" s="5"/>
      <c r="J50" s="5"/>
      <c r="K50" s="5"/>
    </row>
    <row r="51" spans="2:11" ht="24.6" thickBot="1">
      <c r="B51" s="41" t="s">
        <v>826</v>
      </c>
      <c r="C51" s="75"/>
      <c r="D51" s="5"/>
      <c r="E51" s="5"/>
      <c r="F51" s="5"/>
      <c r="G51" s="5"/>
      <c r="H51" s="5"/>
      <c r="I51" s="5"/>
      <c r="J51" s="5"/>
      <c r="K51" s="5"/>
    </row>
    <row r="52" spans="2:11" ht="7.5" customHeight="1" thickBot="1">
      <c r="B52" s="1"/>
      <c r="C52" s="63"/>
      <c r="D52" s="5"/>
      <c r="E52" s="5"/>
      <c r="F52" s="5"/>
      <c r="G52" s="5"/>
      <c r="H52" s="5"/>
      <c r="I52" s="5"/>
      <c r="J52" s="5"/>
      <c r="K52" s="5"/>
    </row>
    <row r="53" spans="2:11" ht="60.6" thickBot="1">
      <c r="B53" s="488" t="s">
        <v>827</v>
      </c>
      <c r="C53" s="76"/>
      <c r="D53" s="34" t="s">
        <v>1496</v>
      </c>
      <c r="E53" s="5"/>
      <c r="F53" s="5"/>
      <c r="G53" s="5"/>
      <c r="H53" s="5"/>
      <c r="I53" s="5"/>
      <c r="J53" s="5"/>
      <c r="K53" s="5"/>
    </row>
    <row r="54" spans="2:11">
      <c r="B54" s="2458" t="s">
        <v>829</v>
      </c>
      <c r="C54" s="72"/>
      <c r="D54" s="43" t="s">
        <v>830</v>
      </c>
      <c r="E54" s="5"/>
      <c r="F54" s="5"/>
      <c r="G54" s="5"/>
      <c r="H54" s="5"/>
      <c r="I54" s="5"/>
      <c r="J54" s="5"/>
      <c r="K54" s="5"/>
    </row>
    <row r="55" spans="2:11" ht="60">
      <c r="B55" s="2459"/>
      <c r="C55" s="72"/>
      <c r="D55" s="36" t="s">
        <v>1497</v>
      </c>
      <c r="E55" s="5"/>
      <c r="F55" s="5"/>
      <c r="G55" s="5"/>
      <c r="H55" s="5"/>
      <c r="I55" s="5"/>
      <c r="J55" s="5"/>
      <c r="K55" s="5"/>
    </row>
    <row r="56" spans="2:11">
      <c r="B56" s="2459"/>
      <c r="C56" s="72"/>
      <c r="D56" s="43" t="s">
        <v>920</v>
      </c>
      <c r="E56" s="5"/>
      <c r="F56" s="5"/>
      <c r="G56" s="5"/>
      <c r="H56" s="5"/>
      <c r="I56" s="5"/>
      <c r="J56" s="5"/>
      <c r="K56" s="5"/>
    </row>
    <row r="57" spans="2:11">
      <c r="B57" s="2459"/>
      <c r="C57" s="72"/>
      <c r="D57" s="36" t="s">
        <v>834</v>
      </c>
      <c r="E57" s="5"/>
      <c r="F57" s="5"/>
      <c r="G57" s="5"/>
      <c r="H57" s="5"/>
      <c r="I57" s="5"/>
      <c r="J57" s="5"/>
      <c r="K57" s="5"/>
    </row>
    <row r="58" spans="2:11" ht="24">
      <c r="B58" s="2459"/>
      <c r="C58" s="72"/>
      <c r="D58" s="36" t="s">
        <v>1498</v>
      </c>
      <c r="E58" s="5"/>
      <c r="F58" s="5"/>
      <c r="G58" s="5"/>
      <c r="H58" s="5"/>
      <c r="I58" s="5"/>
      <c r="J58" s="5"/>
      <c r="K58" s="5"/>
    </row>
    <row r="59" spans="2:11" ht="24">
      <c r="B59" s="2459"/>
      <c r="C59" s="72"/>
      <c r="D59" s="36" t="s">
        <v>1499</v>
      </c>
      <c r="E59" s="5"/>
      <c r="F59" s="5"/>
      <c r="G59" s="5"/>
      <c r="H59" s="5"/>
      <c r="I59" s="5"/>
      <c r="J59" s="5"/>
      <c r="K59" s="5"/>
    </row>
    <row r="60" spans="2:11">
      <c r="B60" s="2459"/>
      <c r="C60" s="72"/>
      <c r="D60" s="36" t="s">
        <v>1500</v>
      </c>
      <c r="E60" s="5"/>
      <c r="F60" s="5"/>
      <c r="G60" s="5"/>
      <c r="H60" s="5"/>
      <c r="I60" s="5"/>
      <c r="J60" s="5"/>
      <c r="K60" s="5"/>
    </row>
    <row r="61" spans="2:11">
      <c r="B61" s="2459"/>
      <c r="C61" s="72"/>
      <c r="D61" s="43" t="s">
        <v>927</v>
      </c>
      <c r="E61" s="5"/>
      <c r="F61" s="5"/>
      <c r="G61" s="5"/>
      <c r="H61" s="5"/>
      <c r="I61" s="5"/>
      <c r="J61" s="5"/>
      <c r="K61" s="5"/>
    </row>
    <row r="62" spans="2:11" ht="36.6" thickBot="1">
      <c r="B62" s="2460"/>
      <c r="C62" s="2"/>
      <c r="D62" s="32" t="s">
        <v>1501</v>
      </c>
      <c r="E62" s="5"/>
      <c r="F62" s="5"/>
      <c r="G62" s="5"/>
      <c r="H62" s="5"/>
      <c r="I62" s="5"/>
      <c r="J62" s="5"/>
      <c r="K62" s="5"/>
    </row>
    <row r="63" spans="2:11" ht="24.6" thickBot="1">
      <c r="B63" s="37" t="s">
        <v>842</v>
      </c>
      <c r="C63" s="2"/>
      <c r="D63" s="32"/>
      <c r="E63" s="5"/>
      <c r="F63" s="5"/>
      <c r="G63" s="5"/>
      <c r="H63" s="5"/>
      <c r="I63" s="5"/>
      <c r="J63" s="5"/>
      <c r="K63" s="5"/>
    </row>
    <row r="64" spans="2:11" ht="192">
      <c r="B64" s="2421" t="s">
        <v>843</v>
      </c>
      <c r="C64" s="72"/>
      <c r="D64" s="36" t="s">
        <v>1502</v>
      </c>
      <c r="E64" s="5"/>
      <c r="F64" s="5"/>
      <c r="G64" s="5"/>
      <c r="H64" s="5"/>
      <c r="I64" s="5"/>
      <c r="J64" s="5"/>
      <c r="K64" s="5"/>
    </row>
    <row r="65" spans="2:11" ht="96">
      <c r="B65" s="2422"/>
      <c r="C65" s="72"/>
      <c r="D65" s="36" t="s">
        <v>1503</v>
      </c>
      <c r="E65" s="5"/>
      <c r="F65" s="5"/>
      <c r="G65" s="5"/>
      <c r="H65" s="5"/>
      <c r="I65" s="5"/>
      <c r="J65" s="5"/>
      <c r="K65" s="5"/>
    </row>
    <row r="66" spans="2:11" ht="48.6" thickBot="1">
      <c r="B66" s="2423"/>
      <c r="C66" s="2"/>
      <c r="D66" s="32" t="s">
        <v>1504</v>
      </c>
      <c r="E66" s="5"/>
      <c r="F66" s="5"/>
      <c r="G66" s="5"/>
      <c r="H66" s="5"/>
      <c r="I66" s="5"/>
      <c r="J66" s="5"/>
      <c r="K66" s="5"/>
    </row>
    <row r="67" spans="2:11">
      <c r="B67" s="2421" t="s">
        <v>860</v>
      </c>
      <c r="C67" s="72"/>
      <c r="D67" s="36"/>
      <c r="E67" s="5"/>
      <c r="F67" s="5"/>
      <c r="G67" s="5"/>
      <c r="H67" s="5"/>
      <c r="I67" s="5"/>
      <c r="J67" s="5"/>
      <c r="K67" s="5"/>
    </row>
    <row r="68" spans="2:11">
      <c r="B68" s="2422"/>
      <c r="C68" s="72"/>
      <c r="D68" s="13"/>
      <c r="E68" s="5"/>
      <c r="F68" s="5"/>
      <c r="G68" s="5"/>
      <c r="H68" s="5"/>
      <c r="I68" s="5"/>
      <c r="J68" s="5"/>
      <c r="K68" s="5"/>
    </row>
    <row r="69" spans="2:11">
      <c r="B69" s="2422"/>
      <c r="C69" s="72"/>
      <c r="D69" s="36" t="s">
        <v>861</v>
      </c>
      <c r="E69" s="5"/>
      <c r="F69" s="5"/>
      <c r="G69" s="5"/>
      <c r="H69" s="5"/>
      <c r="I69" s="5"/>
      <c r="J69" s="5"/>
      <c r="K69" s="5"/>
    </row>
    <row r="70" spans="2:11" ht="50.4">
      <c r="B70" s="2422"/>
      <c r="C70" s="72"/>
      <c r="D70" s="36" t="s">
        <v>1505</v>
      </c>
      <c r="E70" s="5"/>
      <c r="F70" s="5"/>
      <c r="G70" s="5"/>
      <c r="H70" s="5"/>
      <c r="I70" s="5"/>
      <c r="J70" s="5"/>
      <c r="K70" s="5"/>
    </row>
    <row r="71" spans="2:11" ht="38.4">
      <c r="B71" s="2422"/>
      <c r="C71" s="72"/>
      <c r="D71" s="36" t="s">
        <v>1506</v>
      </c>
      <c r="E71" s="5"/>
      <c r="F71" s="5"/>
      <c r="G71" s="5"/>
      <c r="H71" s="5"/>
      <c r="I71" s="5"/>
      <c r="J71" s="5"/>
      <c r="K71" s="5"/>
    </row>
    <row r="72" spans="2:11" ht="38.4">
      <c r="B72" s="2422"/>
      <c r="C72" s="72"/>
      <c r="D72" s="36" t="s">
        <v>1507</v>
      </c>
      <c r="E72" s="5"/>
      <c r="F72" s="5"/>
      <c r="G72" s="5"/>
      <c r="H72" s="5"/>
      <c r="I72" s="5"/>
      <c r="J72" s="5"/>
      <c r="K72" s="5"/>
    </row>
    <row r="73" spans="2:11" ht="48.6" thickBot="1">
      <c r="B73" s="2423"/>
      <c r="C73" s="2"/>
      <c r="D73" s="32" t="s">
        <v>1508</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sheetData>
  <mergeCells count="23">
    <mergeCell ref="B10:D10"/>
    <mergeCell ref="F10:S10"/>
    <mergeCell ref="F11:S11"/>
    <mergeCell ref="E12:R12"/>
    <mergeCell ref="E13:R13"/>
    <mergeCell ref="B54:B62"/>
    <mergeCell ref="B64:B66"/>
    <mergeCell ref="B67:B73"/>
    <mergeCell ref="B15:B22"/>
    <mergeCell ref="D15:I15"/>
    <mergeCell ref="D18:I18"/>
    <mergeCell ref="D23:I23"/>
    <mergeCell ref="D24:I24"/>
    <mergeCell ref="B26:E26"/>
    <mergeCell ref="B27:B33"/>
    <mergeCell ref="B35:E35"/>
    <mergeCell ref="B36:B42"/>
    <mergeCell ref="B49:E49"/>
    <mergeCell ref="A1:P1"/>
    <mergeCell ref="A2:P2"/>
    <mergeCell ref="A3:P3"/>
    <mergeCell ref="A4:D4"/>
    <mergeCell ref="A5:P5"/>
  </mergeCells>
  <conditionalFormatting sqref="E12:R12">
    <cfRule type="expression" dxfId="58" priority="1">
      <formula>E11="SI SE REPORTA"</formula>
    </cfRule>
  </conditionalFormatting>
  <conditionalFormatting sqref="F10">
    <cfRule type="notContainsBlanks" dxfId="57" priority="4">
      <formula>LEN(TRIM(F10))&gt;0</formula>
    </cfRule>
  </conditionalFormatting>
  <conditionalFormatting sqref="F11:S11">
    <cfRule type="expression" dxfId="56" priority="2">
      <formula>E11="NO SE REPORTA"</formula>
    </cfRule>
    <cfRule type="expression" dxfId="55"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xr:uid="{00000000-0002-0000-1500-000000000000}">
      <formula1>0</formula1>
    </dataValidation>
    <dataValidation allowBlank="1" showInputMessage="1" showErrorMessage="1" sqref="I20:I21" xr:uid="{00000000-0002-0000-1500-000001000000}"/>
    <dataValidation type="list" allowBlank="1" showInputMessage="1" showErrorMessage="1" sqref="E11" xr:uid="{00000000-0002-0000-1500-000002000000}">
      <formula1>REPORTE</formula1>
    </dataValidation>
    <dataValidation type="list" allowBlank="1" showInputMessage="1" showErrorMessage="1" sqref="E10" xr:uid="{00000000-0002-0000-1500-000003000000}">
      <formula1>SI</formula1>
    </dataValidation>
  </dataValidations>
  <hyperlinks>
    <hyperlink ref="B9" location="'ANEXO 3'!A1" display="VOLVER AL INDICE" xr:uid="{00000000-0004-0000-1500-000000000000}"/>
    <hyperlink ref="E31" r:id="rId1" xr:uid="{00000000-0004-0000-1500-000001000000}"/>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dimension ref="A1:U174"/>
  <sheetViews>
    <sheetView topLeftCell="A25" workbookViewId="0">
      <selection activeCell="F29" sqref="F29"/>
    </sheetView>
  </sheetViews>
  <sheetFormatPr baseColWidth="10" defaultColWidth="11.44140625" defaultRowHeight="14.4"/>
  <cols>
    <col min="1" max="1" width="1.88671875" customWidth="1"/>
    <col min="2" max="2" width="12.88671875" customWidth="1"/>
    <col min="3" max="3" width="8.33203125" style="65" customWidth="1"/>
    <col min="4" max="4" width="39.44140625" customWidth="1"/>
    <col min="5" max="5" width="23.109375" customWidth="1"/>
    <col min="6" max="6" width="44.33203125" customWidth="1"/>
    <col min="7" max="7" width="13.33203125" customWidth="1"/>
    <col min="8" max="8" width="14" customWidth="1"/>
    <col min="9" max="9" width="13.6640625" customWidth="1"/>
    <col min="10" max="10" width="12.44140625" customWidth="1"/>
    <col min="11" max="11" width="17.1093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27</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23"/>
      <c r="C7" s="64"/>
      <c r="D7" s="5"/>
      <c r="E7" s="14"/>
      <c r="F7" s="5" t="s">
        <v>738</v>
      </c>
      <c r="G7" s="5"/>
      <c r="H7" s="5"/>
      <c r="I7" s="5"/>
      <c r="J7" s="5"/>
      <c r="K7" s="5"/>
    </row>
    <row r="8" spans="1:21" ht="15" thickBot="1">
      <c r="B8" s="140" t="s">
        <v>739</v>
      </c>
      <c r="C8" s="539">
        <v>2025</v>
      </c>
      <c r="D8" s="164">
        <f>IF(E10="NO APLICA","NO APLICA",IF(E11="NO SE REPORTA","SIN INFORMACION",+F20))</f>
        <v>1</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t="s">
        <v>899</v>
      </c>
      <c r="G11" s="2397"/>
      <c r="H11" s="2397"/>
      <c r="I11" s="2397"/>
      <c r="J11" s="2397"/>
      <c r="K11" s="2397"/>
      <c r="L11" s="2397"/>
      <c r="M11" s="2397"/>
      <c r="N11" s="2397"/>
      <c r="O11" s="2397"/>
      <c r="P11" s="2397"/>
      <c r="Q11" s="2397"/>
      <c r="R11" s="2397"/>
      <c r="S11" s="2397"/>
    </row>
    <row r="12" spans="1:21" ht="118.5" customHeight="1">
      <c r="B12" s="290"/>
      <c r="C12" s="66"/>
      <c r="D12" s="141" t="str">
        <f>IF(E11="SI SE REPORTA","¿Qué programas o proyectos del Plan de Acción están asociados al indicador? ","")</f>
        <v xml:space="preserve">¿Qué programas o proyectos del Plan de Acción están asociados al indicador? </v>
      </c>
      <c r="E12" s="2500" t="s">
        <v>1509</v>
      </c>
      <c r="F12" s="2500"/>
      <c r="G12" s="2500"/>
      <c r="H12" s="2500"/>
      <c r="I12" s="2500"/>
      <c r="J12" s="2500"/>
      <c r="K12" s="2500"/>
      <c r="L12" s="2500"/>
      <c r="M12" s="2500"/>
      <c r="N12" s="2500"/>
      <c r="O12" s="2500"/>
      <c r="P12" s="2500"/>
      <c r="Q12" s="2500"/>
      <c r="R12" s="2500"/>
    </row>
    <row r="13" spans="1:21" ht="21.9" customHeight="1">
      <c r="B13" s="290"/>
      <c r="C13" s="66"/>
      <c r="D13" s="141" t="s">
        <v>746</v>
      </c>
      <c r="E13" s="2705"/>
      <c r="F13" s="2502"/>
      <c r="G13" s="2502"/>
      <c r="H13" s="2502"/>
      <c r="I13" s="2502"/>
      <c r="J13" s="2502"/>
      <c r="K13" s="2502"/>
      <c r="L13" s="2502"/>
      <c r="M13" s="2502"/>
      <c r="N13" s="2502"/>
      <c r="O13" s="2502"/>
      <c r="P13" s="2502"/>
      <c r="Q13" s="2502"/>
      <c r="R13" s="2503"/>
    </row>
    <row r="14" spans="1:21" ht="6.9" customHeight="1" thickBot="1">
      <c r="B14" s="290"/>
      <c r="D14" s="5"/>
      <c r="E14" s="5"/>
      <c r="F14" s="5"/>
      <c r="G14" s="5"/>
      <c r="H14" s="5"/>
      <c r="I14" s="5"/>
      <c r="J14" s="5"/>
      <c r="K14" s="5"/>
    </row>
    <row r="15" spans="1:21" ht="15" customHeight="1" thickTop="1">
      <c r="B15" s="2548" t="s">
        <v>747</v>
      </c>
      <c r="C15" s="67"/>
      <c r="D15" s="2412" t="s">
        <v>1103</v>
      </c>
      <c r="E15" s="2413"/>
      <c r="F15" s="2413"/>
      <c r="G15" s="2413"/>
      <c r="H15" s="2413"/>
      <c r="I15" s="2413"/>
      <c r="J15" s="2413"/>
      <c r="K15" s="2414"/>
    </row>
    <row r="16" spans="1:21" ht="15" thickBot="1">
      <c r="B16" s="2453"/>
      <c r="C16" s="70"/>
      <c r="D16" s="2674" t="s">
        <v>27</v>
      </c>
      <c r="E16" s="2675"/>
      <c r="F16" s="2675"/>
      <c r="G16" s="2675"/>
      <c r="H16" s="2675"/>
      <c r="I16" s="2675"/>
      <c r="J16" s="2675"/>
      <c r="K16" s="2676"/>
    </row>
    <row r="17" spans="2:12" ht="18.75" customHeight="1" thickBot="1">
      <c r="B17" s="2453"/>
      <c r="C17" s="68" t="s">
        <v>698</v>
      </c>
      <c r="D17" s="552" t="s">
        <v>1004</v>
      </c>
      <c r="E17" s="552" t="s">
        <v>784</v>
      </c>
      <c r="F17" s="552" t="s">
        <v>593</v>
      </c>
      <c r="G17" s="552" t="s">
        <v>594</v>
      </c>
      <c r="H17" s="552" t="s">
        <v>595</v>
      </c>
      <c r="I17" s="552" t="s">
        <v>1435</v>
      </c>
      <c r="K17" s="17"/>
    </row>
    <row r="18" spans="2:12" ht="48.75" customHeight="1" thickBot="1">
      <c r="B18" s="2453"/>
      <c r="C18" s="69" t="s">
        <v>906</v>
      </c>
      <c r="D18" s="32" t="s">
        <v>1510</v>
      </c>
      <c r="E18" s="494">
        <v>0</v>
      </c>
      <c r="F18" s="494">
        <v>2</v>
      </c>
      <c r="G18" s="494">
        <v>3</v>
      </c>
      <c r="H18" s="494">
        <v>1</v>
      </c>
      <c r="I18" s="501">
        <f>SUM(E18:H18)</f>
        <v>6</v>
      </c>
      <c r="K18" s="17"/>
    </row>
    <row r="19" spans="2:12" ht="42.75" customHeight="1" thickBot="1">
      <c r="B19" s="2453"/>
      <c r="C19" s="69" t="s">
        <v>908</v>
      </c>
      <c r="D19" s="32" t="s">
        <v>1511</v>
      </c>
      <c r="E19" s="494">
        <v>0</v>
      </c>
      <c r="F19" s="494">
        <v>2</v>
      </c>
      <c r="G19" s="494"/>
      <c r="H19" s="494"/>
      <c r="I19" s="501">
        <f>SUM(E19:H19)</f>
        <v>2</v>
      </c>
      <c r="K19" s="17"/>
    </row>
    <row r="20" spans="2:12" ht="36.6" thickBot="1">
      <c r="B20" s="2453"/>
      <c r="C20" s="69" t="s">
        <v>910</v>
      </c>
      <c r="D20" s="32" t="s">
        <v>1512</v>
      </c>
      <c r="E20" s="118">
        <f>IFERROR(E19/E18,0)</f>
        <v>0</v>
      </c>
      <c r="F20" s="118">
        <f>IFERROR(F19/F18,0)</f>
        <v>1</v>
      </c>
      <c r="G20" s="118">
        <f>IFERROR(G19/G18,0)</f>
        <v>0</v>
      </c>
      <c r="H20" s="118">
        <f>IFERROR(H19/H18,0)</f>
        <v>0</v>
      </c>
      <c r="I20" s="118">
        <f>IFERROR(I19/I18,0)</f>
        <v>0.33333333333333331</v>
      </c>
      <c r="K20" s="17"/>
    </row>
    <row r="21" spans="2:12">
      <c r="B21" s="168"/>
      <c r="C21" s="70"/>
      <c r="D21" s="2403"/>
      <c r="E21" s="2404"/>
      <c r="F21" s="2404"/>
      <c r="G21" s="2404"/>
      <c r="H21" s="2404"/>
      <c r="I21" s="2404"/>
      <c r="J21" s="2404"/>
      <c r="K21" s="2405"/>
    </row>
    <row r="22" spans="2:12">
      <c r="B22" s="168"/>
      <c r="C22" s="70"/>
      <c r="D22" s="2674" t="s">
        <v>1513</v>
      </c>
      <c r="E22" s="2675"/>
      <c r="F22" s="2675"/>
      <c r="G22" s="2675"/>
      <c r="H22" s="2675"/>
      <c r="I22" s="2675"/>
      <c r="J22" s="2675"/>
      <c r="K22" s="2676"/>
    </row>
    <row r="23" spans="2:12" ht="24" customHeight="1" thickBot="1">
      <c r="B23" s="168"/>
      <c r="C23" s="70"/>
      <c r="D23" s="2688" t="s">
        <v>1514</v>
      </c>
      <c r="E23" s="2689"/>
      <c r="F23" s="2689"/>
      <c r="G23" s="2689"/>
      <c r="H23" s="2689"/>
      <c r="I23" s="2689"/>
      <c r="J23" s="2689"/>
      <c r="K23" s="2690"/>
    </row>
    <row r="24" spans="2:12" ht="15" thickBot="1">
      <c r="B24" s="168"/>
      <c r="C24" s="2554" t="s">
        <v>698</v>
      </c>
      <c r="D24" s="2698" t="s">
        <v>1023</v>
      </c>
      <c r="E24" s="2698" t="s">
        <v>1438</v>
      </c>
      <c r="F24" s="2691" t="s">
        <v>1515</v>
      </c>
      <c r="G24" s="2693" t="s">
        <v>1516</v>
      </c>
      <c r="H24" s="2694"/>
      <c r="I24" s="2694"/>
      <c r="J24" s="2695"/>
      <c r="K24" s="94"/>
    </row>
    <row r="25" spans="2:12" ht="15" thickBot="1">
      <c r="B25" s="168"/>
      <c r="C25" s="2697"/>
      <c r="D25" s="2699"/>
      <c r="E25" s="2699"/>
      <c r="F25" s="2692"/>
      <c r="G25" s="548" t="s">
        <v>1291</v>
      </c>
      <c r="H25" s="2691" t="s">
        <v>1517</v>
      </c>
      <c r="I25" s="2691" t="s">
        <v>1027</v>
      </c>
      <c r="J25" s="2691" t="s">
        <v>1028</v>
      </c>
      <c r="K25" s="8"/>
    </row>
    <row r="26" spans="2:12" ht="15" thickBot="1">
      <c r="B26" s="168"/>
      <c r="C26" s="2556"/>
      <c r="D26" s="2699"/>
      <c r="E26" s="2699"/>
      <c r="F26" s="2692"/>
      <c r="G26" s="548" t="s">
        <v>1518</v>
      </c>
      <c r="H26" s="2692"/>
      <c r="I26" s="2692"/>
      <c r="J26" s="2696"/>
      <c r="K26" s="94"/>
    </row>
    <row r="27" spans="2:12" ht="111.75" customHeight="1">
      <c r="B27" s="168"/>
      <c r="C27" s="880">
        <v>1</v>
      </c>
      <c r="D27" s="622" t="s">
        <v>1519</v>
      </c>
      <c r="E27" s="624" t="s">
        <v>1520</v>
      </c>
      <c r="F27" s="857" t="s">
        <v>2082</v>
      </c>
      <c r="G27" s="942">
        <v>486000000</v>
      </c>
      <c r="H27" s="942">
        <v>486000000</v>
      </c>
      <c r="I27" s="942">
        <v>486000000</v>
      </c>
      <c r="J27" s="943">
        <v>41230631</v>
      </c>
      <c r="K27" s="549"/>
      <c r="L27" s="163"/>
    </row>
    <row r="28" spans="2:12" ht="36" customHeight="1">
      <c r="B28" s="168"/>
      <c r="C28" s="740">
        <v>2</v>
      </c>
      <c r="D28" s="877" t="s">
        <v>1521</v>
      </c>
      <c r="E28" s="878" t="s">
        <v>1522</v>
      </c>
      <c r="F28" s="879" t="s">
        <v>2073</v>
      </c>
      <c r="G28" s="944"/>
      <c r="H28" s="944"/>
      <c r="I28" s="944"/>
      <c r="J28" s="945"/>
      <c r="K28" s="550"/>
      <c r="L28" s="163"/>
    </row>
    <row r="29" spans="2:12" ht="207" customHeight="1" thickBot="1">
      <c r="B29" s="168"/>
      <c r="C29" s="733">
        <v>3</v>
      </c>
      <c r="D29" s="623" t="s">
        <v>1523</v>
      </c>
      <c r="E29" s="625" t="s">
        <v>1524</v>
      </c>
      <c r="F29" s="856" t="s">
        <v>2083</v>
      </c>
      <c r="G29" s="946">
        <v>243000000</v>
      </c>
      <c r="H29" s="946">
        <v>243000000</v>
      </c>
      <c r="I29" s="946">
        <v>235740000</v>
      </c>
      <c r="J29" s="947">
        <v>220621807</v>
      </c>
      <c r="K29" s="551"/>
      <c r="L29" s="163"/>
    </row>
    <row r="30" spans="2:12" ht="23.25" customHeight="1" thickBot="1">
      <c r="B30" s="168"/>
      <c r="C30" s="31"/>
      <c r="D30" s="506" t="s">
        <v>905</v>
      </c>
      <c r="E30" s="506"/>
      <c r="F30" s="507"/>
      <c r="G30" s="687">
        <f>SUM(G27:G29)</f>
        <v>729000000</v>
      </c>
      <c r="H30" s="687">
        <f>SUM(H27:H29)</f>
        <v>729000000</v>
      </c>
      <c r="I30" s="687">
        <f>SUM(I27:I29)</f>
        <v>721740000</v>
      </c>
      <c r="J30" s="688">
        <f>SUM(J27:J29)</f>
        <v>261852438</v>
      </c>
      <c r="K30" s="9"/>
    </row>
    <row r="31" spans="2:12">
      <c r="B31" s="168"/>
      <c r="C31" s="70"/>
      <c r="D31" s="2412" t="s">
        <v>1452</v>
      </c>
      <c r="E31" s="2413"/>
      <c r="F31" s="2413"/>
      <c r="G31" s="2413"/>
      <c r="H31" s="2413"/>
      <c r="I31" s="2413"/>
      <c r="J31" s="2413"/>
      <c r="K31" s="2414"/>
    </row>
    <row r="32" spans="2:12" ht="24" customHeight="1" thickBot="1">
      <c r="B32" s="168"/>
      <c r="C32" s="70"/>
      <c r="D32" s="2403" t="s">
        <v>1525</v>
      </c>
      <c r="E32" s="2404"/>
      <c r="F32" s="2404"/>
      <c r="G32" s="2404"/>
      <c r="H32" s="2404"/>
      <c r="I32" s="2404"/>
      <c r="J32" s="2404"/>
      <c r="K32" s="2405"/>
    </row>
    <row r="33" spans="2:11" ht="15" thickBot="1">
      <c r="B33" s="168"/>
      <c r="C33" s="2411" t="s">
        <v>698</v>
      </c>
      <c r="D33" s="2700" t="s">
        <v>1526</v>
      </c>
      <c r="E33" s="2703" t="s">
        <v>1527</v>
      </c>
      <c r="F33" s="2704"/>
      <c r="G33" s="58"/>
      <c r="H33" s="5"/>
      <c r="I33" s="5"/>
      <c r="K33" s="17"/>
    </row>
    <row r="34" spans="2:11">
      <c r="B34" s="168"/>
      <c r="C34" s="2417"/>
      <c r="D34" s="2701"/>
      <c r="E34" s="2421" t="s">
        <v>1528</v>
      </c>
      <c r="F34" s="36" t="s">
        <v>1529</v>
      </c>
      <c r="G34" s="2421" t="s">
        <v>702</v>
      </c>
      <c r="H34" s="5"/>
      <c r="I34" s="5"/>
      <c r="K34" s="17"/>
    </row>
    <row r="35" spans="2:11" ht="15" thickBot="1">
      <c r="B35" s="168"/>
      <c r="C35" s="2408"/>
      <c r="D35" s="2702"/>
      <c r="E35" s="2423"/>
      <c r="F35" s="32" t="s">
        <v>1517</v>
      </c>
      <c r="G35" s="2423"/>
      <c r="H35" s="5"/>
      <c r="I35" s="5"/>
      <c r="K35" s="17"/>
    </row>
    <row r="36" spans="2:11" ht="15" thickBot="1">
      <c r="B36" s="168"/>
      <c r="C36" s="274">
        <v>1</v>
      </c>
      <c r="D36" s="128">
        <v>0.5</v>
      </c>
      <c r="E36" s="115">
        <f t="shared" ref="E36:F38" si="0">IFERROR(I27/H27,0)</f>
        <v>1</v>
      </c>
      <c r="F36" s="115">
        <f t="shared" si="0"/>
        <v>8.4836689300411522E-2</v>
      </c>
      <c r="G36" s="273"/>
      <c r="H36" s="5"/>
      <c r="I36" s="5"/>
      <c r="K36" s="17"/>
    </row>
    <row r="37" spans="2:11" ht="15" thickBot="1">
      <c r="B37" s="168"/>
      <c r="C37" s="274">
        <v>2</v>
      </c>
      <c r="D37" s="128">
        <v>0</v>
      </c>
      <c r="E37" s="115">
        <f t="shared" si="0"/>
        <v>0</v>
      </c>
      <c r="F37" s="115">
        <f t="shared" si="0"/>
        <v>0</v>
      </c>
      <c r="G37" s="273"/>
      <c r="H37" s="5"/>
      <c r="I37" s="5"/>
      <c r="K37" s="17"/>
    </row>
    <row r="38" spans="2:11" ht="15" thickBot="1">
      <c r="B38" s="168"/>
      <c r="C38" s="274">
        <v>3</v>
      </c>
      <c r="D38" s="128">
        <v>0.5</v>
      </c>
      <c r="E38" s="115">
        <v>1</v>
      </c>
      <c r="F38" s="115">
        <f t="shared" si="0"/>
        <v>0.93586920760159498</v>
      </c>
      <c r="G38" s="273"/>
      <c r="H38" s="5"/>
      <c r="I38" s="5"/>
      <c r="K38" s="17"/>
    </row>
    <row r="39" spans="2:11" ht="15" thickBot="1">
      <c r="B39" s="37"/>
      <c r="C39" s="57"/>
      <c r="D39" s="129">
        <f>Formulas!$D$22</f>
        <v>1</v>
      </c>
      <c r="E39" s="116">
        <f>+$D36*E36+$D37*E37+$D38*E38</f>
        <v>1</v>
      </c>
      <c r="F39" s="115">
        <f t="shared" ref="F39" si="1">IFERROR(J30/I30,0)</f>
        <v>0.36280715770221966</v>
      </c>
      <c r="G39" s="32"/>
      <c r="H39" s="18"/>
      <c r="I39" s="18"/>
      <c r="J39" s="18"/>
      <c r="K39" s="19"/>
    </row>
    <row r="40" spans="2:11" ht="15" thickBot="1">
      <c r="B40" s="29"/>
      <c r="C40" s="66"/>
      <c r="D40" s="5"/>
      <c r="E40" s="5"/>
      <c r="F40" s="5"/>
      <c r="G40" s="5"/>
      <c r="H40" s="5"/>
      <c r="I40" s="5"/>
      <c r="J40" s="5"/>
      <c r="K40" s="5"/>
    </row>
    <row r="41" spans="2:11" ht="60.6" thickBot="1">
      <c r="B41" s="42" t="s">
        <v>803</v>
      </c>
      <c r="C41" s="76"/>
      <c r="D41" s="34" t="s">
        <v>1530</v>
      </c>
      <c r="E41" s="5"/>
      <c r="F41" s="5"/>
      <c r="G41" s="5"/>
      <c r="H41" s="5"/>
      <c r="I41" s="5"/>
      <c r="J41" s="5"/>
      <c r="K41" s="5"/>
    </row>
    <row r="42" spans="2:11" ht="48.6" thickBot="1">
      <c r="B42" s="37" t="s">
        <v>805</v>
      </c>
      <c r="C42" s="2"/>
      <c r="D42" s="32" t="s">
        <v>1117</v>
      </c>
      <c r="E42" s="5"/>
      <c r="F42" s="5"/>
      <c r="G42" s="5"/>
      <c r="H42" s="5"/>
      <c r="I42" s="5"/>
      <c r="J42" s="5"/>
      <c r="K42" s="5"/>
    </row>
    <row r="43" spans="2:11" ht="15" thickBot="1">
      <c r="B43" s="1"/>
      <c r="C43" s="63"/>
      <c r="D43" s="5"/>
      <c r="E43" s="5"/>
      <c r="F43" s="5"/>
      <c r="G43" s="5"/>
      <c r="H43" s="5"/>
      <c r="I43" s="5"/>
      <c r="J43" s="5"/>
      <c r="K43" s="5"/>
    </row>
    <row r="44" spans="2:11" ht="24" customHeight="1" thickBot="1">
      <c r="B44" s="2431" t="s">
        <v>807</v>
      </c>
      <c r="C44" s="2432"/>
      <c r="D44" s="2432"/>
      <c r="E44" s="2433"/>
      <c r="F44" s="5"/>
      <c r="G44" s="5"/>
      <c r="H44" s="5"/>
      <c r="I44" s="5"/>
      <c r="J44" s="5"/>
      <c r="K44" s="5"/>
    </row>
    <row r="45" spans="2:11" ht="15" thickBot="1">
      <c r="B45" s="2421">
        <v>1</v>
      </c>
      <c r="C45" s="72"/>
      <c r="D45" s="38" t="s">
        <v>808</v>
      </c>
      <c r="E45" s="25" t="s">
        <v>809</v>
      </c>
      <c r="F45" s="5"/>
      <c r="G45" s="5"/>
      <c r="H45" s="5"/>
      <c r="I45" s="5"/>
      <c r="J45" s="5"/>
      <c r="K45" s="5"/>
    </row>
    <row r="46" spans="2:11" ht="24.6" thickBot="1">
      <c r="B46" s="2422"/>
      <c r="C46" s="72"/>
      <c r="D46" s="32" t="s">
        <v>528</v>
      </c>
      <c r="E46" s="24" t="s">
        <v>941</v>
      </c>
      <c r="F46" s="5"/>
      <c r="G46" s="5"/>
      <c r="H46" s="5"/>
      <c r="I46" s="5"/>
      <c r="J46" s="5"/>
      <c r="K46" s="5"/>
    </row>
    <row r="47" spans="2:11" ht="15" thickBot="1">
      <c r="B47" s="2422"/>
      <c r="C47" s="72"/>
      <c r="D47" s="32" t="s">
        <v>811</v>
      </c>
      <c r="E47" s="24" t="s">
        <v>1493</v>
      </c>
      <c r="F47" s="5"/>
      <c r="G47" s="5"/>
      <c r="H47" s="5"/>
      <c r="I47" s="5"/>
      <c r="J47" s="5"/>
      <c r="K47" s="5"/>
    </row>
    <row r="48" spans="2:11" ht="15" thickBot="1">
      <c r="B48" s="2422"/>
      <c r="C48" s="72"/>
      <c r="D48" s="32" t="s">
        <v>531</v>
      </c>
      <c r="E48" s="24" t="s">
        <v>986</v>
      </c>
      <c r="F48" s="5"/>
      <c r="G48" s="5"/>
      <c r="H48" s="5"/>
      <c r="I48" s="5"/>
      <c r="J48" s="5"/>
      <c r="K48" s="5"/>
    </row>
    <row r="49" spans="2:11" ht="29.4" thickBot="1">
      <c r="B49" s="2422"/>
      <c r="C49" s="72"/>
      <c r="D49" s="32" t="s">
        <v>534</v>
      </c>
      <c r="E49" s="490" t="s">
        <v>944</v>
      </c>
      <c r="F49" s="5"/>
      <c r="G49" s="5"/>
      <c r="H49" s="5"/>
      <c r="I49" s="5"/>
      <c r="J49" s="5"/>
      <c r="K49" s="5"/>
    </row>
    <row r="50" spans="2:11" ht="15" thickBot="1">
      <c r="B50" s="2422"/>
      <c r="C50" s="72"/>
      <c r="D50" s="32" t="s">
        <v>537</v>
      </c>
      <c r="E50" s="24" t="s">
        <v>945</v>
      </c>
      <c r="F50" s="5"/>
      <c r="G50" s="5"/>
      <c r="H50" s="5"/>
      <c r="I50" s="5"/>
      <c r="J50" s="5"/>
      <c r="K50" s="5"/>
    </row>
    <row r="51" spans="2:11" ht="15" thickBot="1">
      <c r="B51" s="2423"/>
      <c r="C51" s="2"/>
      <c r="D51" s="32" t="s">
        <v>815</v>
      </c>
      <c r="E51" s="24" t="s">
        <v>816</v>
      </c>
      <c r="F51" s="5"/>
      <c r="G51" s="5"/>
      <c r="H51" s="5"/>
      <c r="I51" s="5"/>
      <c r="J51" s="5"/>
      <c r="K51" s="5"/>
    </row>
    <row r="52" spans="2:11" ht="15" thickBot="1">
      <c r="B52" s="1"/>
      <c r="C52" s="63"/>
      <c r="D52" s="5"/>
      <c r="E52" s="5"/>
      <c r="F52" s="5"/>
      <c r="G52" s="5"/>
      <c r="H52" s="5"/>
      <c r="I52" s="5"/>
      <c r="J52" s="5"/>
      <c r="K52" s="5"/>
    </row>
    <row r="53" spans="2:11" ht="15" thickBot="1">
      <c r="B53" s="2431" t="s">
        <v>817</v>
      </c>
      <c r="C53" s="2432"/>
      <c r="D53" s="2432"/>
      <c r="E53" s="2433"/>
      <c r="F53" s="5"/>
      <c r="G53" s="5"/>
      <c r="H53" s="5"/>
      <c r="I53" s="5"/>
      <c r="J53" s="5"/>
      <c r="K53" s="5"/>
    </row>
    <row r="54" spans="2:11" ht="24.6" thickBot="1">
      <c r="B54" s="2421">
        <v>1</v>
      </c>
      <c r="C54" s="72"/>
      <c r="D54" s="38" t="s">
        <v>808</v>
      </c>
      <c r="E54" s="154" t="s">
        <v>818</v>
      </c>
      <c r="F54" s="5"/>
      <c r="G54" s="5"/>
      <c r="H54" s="5"/>
      <c r="I54" s="5"/>
      <c r="J54" s="5"/>
      <c r="K54" s="5"/>
    </row>
    <row r="55" spans="2:11" ht="36.6" thickBot="1">
      <c r="B55" s="2422"/>
      <c r="C55" s="72"/>
      <c r="D55" s="32" t="s">
        <v>528</v>
      </c>
      <c r="E55" s="42" t="s">
        <v>819</v>
      </c>
      <c r="F55" s="5"/>
      <c r="G55" s="5"/>
      <c r="H55" s="5"/>
      <c r="I55" s="5"/>
      <c r="J55" s="5"/>
      <c r="K55" s="5"/>
    </row>
    <row r="56" spans="2:11" ht="15" thickBot="1">
      <c r="B56" s="2422"/>
      <c r="C56" s="72"/>
      <c r="D56" s="32" t="s">
        <v>811</v>
      </c>
      <c r="E56" s="137"/>
      <c r="F56" s="5"/>
      <c r="G56" s="5"/>
      <c r="H56" s="5"/>
      <c r="I56" s="5"/>
      <c r="J56" s="5"/>
      <c r="K56" s="5"/>
    </row>
    <row r="57" spans="2:11" ht="15" thickBot="1">
      <c r="B57" s="2422"/>
      <c r="C57" s="72"/>
      <c r="D57" s="32" t="s">
        <v>531</v>
      </c>
      <c r="E57" s="137"/>
      <c r="F57" s="5"/>
      <c r="G57" s="5"/>
      <c r="H57" s="5"/>
      <c r="I57" s="5"/>
      <c r="J57" s="5"/>
      <c r="K57" s="5"/>
    </row>
    <row r="58" spans="2:11" ht="15" thickBot="1">
      <c r="B58" s="2422"/>
      <c r="C58" s="72"/>
      <c r="D58" s="32" t="s">
        <v>534</v>
      </c>
      <c r="E58" s="137"/>
      <c r="F58" s="5"/>
      <c r="G58" s="5"/>
      <c r="H58" s="5"/>
      <c r="I58" s="5"/>
      <c r="J58" s="5"/>
      <c r="K58" s="5"/>
    </row>
    <row r="59" spans="2:11" ht="15" thickBot="1">
      <c r="B59" s="2422"/>
      <c r="C59" s="72"/>
      <c r="D59" s="32" t="s">
        <v>537</v>
      </c>
      <c r="E59" s="137"/>
      <c r="F59" s="5"/>
      <c r="G59" s="5"/>
      <c r="H59" s="5"/>
      <c r="I59" s="5"/>
      <c r="J59" s="5"/>
      <c r="K59" s="5"/>
    </row>
    <row r="60" spans="2:11" ht="15" thickBot="1">
      <c r="B60" s="2423"/>
      <c r="C60" s="2"/>
      <c r="D60" s="32" t="s">
        <v>815</v>
      </c>
      <c r="E60" s="137"/>
      <c r="F60" s="5"/>
      <c r="G60" s="5"/>
      <c r="H60" s="5"/>
      <c r="I60" s="5"/>
      <c r="J60" s="5"/>
      <c r="K60" s="5"/>
    </row>
    <row r="61" spans="2:11" ht="15" thickBot="1">
      <c r="B61" s="1"/>
      <c r="C61" s="63"/>
      <c r="D61" s="5"/>
      <c r="E61" s="5"/>
      <c r="F61" s="5"/>
      <c r="G61" s="5"/>
      <c r="H61" s="5"/>
      <c r="I61" s="5"/>
      <c r="J61" s="5"/>
      <c r="K61" s="5"/>
    </row>
    <row r="62" spans="2:11" ht="15" thickBot="1">
      <c r="B62" s="2431" t="s">
        <v>820</v>
      </c>
      <c r="C62" s="2432"/>
      <c r="D62" s="2432"/>
      <c r="E62" s="2432"/>
      <c r="F62" s="2433"/>
      <c r="G62" s="5"/>
      <c r="H62" s="5"/>
      <c r="I62" s="5"/>
      <c r="J62" s="5"/>
      <c r="K62" s="5"/>
    </row>
    <row r="63" spans="2:11" ht="15" thickBot="1">
      <c r="B63" s="37" t="s">
        <v>821</v>
      </c>
      <c r="C63" s="32" t="s">
        <v>822</v>
      </c>
      <c r="D63" s="32" t="s">
        <v>823</v>
      </c>
      <c r="E63" s="32" t="s">
        <v>824</v>
      </c>
      <c r="F63" s="5"/>
      <c r="G63" s="5"/>
      <c r="H63" s="5"/>
      <c r="I63" s="5"/>
      <c r="J63" s="5"/>
    </row>
    <row r="64" spans="2:11" ht="72.599999999999994" thickBot="1">
      <c r="B64" s="39">
        <v>42401</v>
      </c>
      <c r="C64" s="32">
        <v>0.01</v>
      </c>
      <c r="D64" s="40" t="s">
        <v>1531</v>
      </c>
      <c r="E64" s="32"/>
      <c r="F64" s="5"/>
      <c r="G64" s="5"/>
      <c r="H64" s="5"/>
      <c r="I64" s="5"/>
      <c r="J64" s="5"/>
    </row>
    <row r="65" spans="2:11" ht="15" thickBot="1">
      <c r="B65" s="3"/>
      <c r="C65" s="73"/>
      <c r="D65" s="5"/>
      <c r="E65" s="5"/>
      <c r="F65" s="5"/>
      <c r="G65" s="5"/>
      <c r="H65" s="5"/>
      <c r="I65" s="5"/>
      <c r="J65" s="5"/>
      <c r="K65" s="5"/>
    </row>
    <row r="66" spans="2:11">
      <c r="B66" s="105" t="s">
        <v>702</v>
      </c>
      <c r="C66" s="74"/>
      <c r="D66" s="5"/>
      <c r="E66" s="5"/>
      <c r="F66" s="5"/>
      <c r="G66" s="5"/>
      <c r="H66" s="5"/>
      <c r="I66" s="5"/>
      <c r="J66" s="5"/>
      <c r="K66" s="5"/>
    </row>
    <row r="67" spans="2:11">
      <c r="B67" s="2682"/>
      <c r="C67" s="2683"/>
      <c r="D67" s="2683"/>
      <c r="E67" s="2683"/>
      <c r="F67" s="2684"/>
      <c r="G67" s="5"/>
      <c r="H67" s="5"/>
      <c r="I67" s="5"/>
      <c r="J67" s="5"/>
      <c r="K67" s="5"/>
    </row>
    <row r="68" spans="2:11">
      <c r="B68" s="2685"/>
      <c r="C68" s="2686"/>
      <c r="D68" s="2686"/>
      <c r="E68" s="2686"/>
      <c r="F68" s="2687"/>
      <c r="G68" s="5"/>
      <c r="H68" s="5"/>
      <c r="I68" s="5"/>
      <c r="J68" s="5"/>
      <c r="K68" s="5"/>
    </row>
    <row r="69" spans="2:11">
      <c r="B69" s="1"/>
      <c r="C69" s="63"/>
      <c r="D69" s="5"/>
      <c r="E69" s="5"/>
      <c r="F69" s="5"/>
      <c r="G69" s="5"/>
      <c r="H69" s="5"/>
      <c r="I69" s="5"/>
      <c r="J69" s="5"/>
      <c r="K69" s="5"/>
    </row>
    <row r="70" spans="2:11" ht="15" thickBot="1">
      <c r="B70" s="5"/>
      <c r="D70" s="5"/>
      <c r="E70" s="5"/>
      <c r="F70" s="5"/>
      <c r="G70" s="5"/>
      <c r="H70" s="5"/>
      <c r="I70" s="5"/>
      <c r="J70" s="5"/>
      <c r="K70" s="5"/>
    </row>
    <row r="71" spans="2:11" ht="24.6" thickBot="1">
      <c r="B71" s="41" t="s">
        <v>826</v>
      </c>
      <c r="C71" s="75"/>
      <c r="D71" s="5"/>
      <c r="E71" s="5"/>
      <c r="F71" s="5"/>
      <c r="G71" s="5"/>
      <c r="H71" s="5"/>
      <c r="I71" s="5"/>
      <c r="J71" s="5"/>
      <c r="K71" s="5"/>
    </row>
    <row r="72" spans="2:11" ht="15" thickBot="1">
      <c r="B72" s="29"/>
      <c r="C72" s="66"/>
      <c r="D72" s="5"/>
      <c r="E72" s="5"/>
      <c r="F72" s="5"/>
      <c r="G72" s="5"/>
      <c r="H72" s="5"/>
      <c r="I72" s="5"/>
      <c r="J72" s="5"/>
      <c r="K72" s="5"/>
    </row>
    <row r="73" spans="2:11" ht="60.6" thickBot="1">
      <c r="B73" s="42" t="s">
        <v>827</v>
      </c>
      <c r="C73" s="76"/>
      <c r="D73" s="34" t="s">
        <v>1532</v>
      </c>
      <c r="E73" s="5"/>
      <c r="F73" s="5"/>
      <c r="G73" s="5"/>
      <c r="H73" s="5"/>
      <c r="I73" s="5"/>
      <c r="J73" s="5"/>
      <c r="K73" s="5"/>
    </row>
    <row r="74" spans="2:11">
      <c r="B74" s="2421" t="s">
        <v>829</v>
      </c>
      <c r="C74" s="72"/>
      <c r="D74" s="43" t="s">
        <v>830</v>
      </c>
      <c r="E74" s="5"/>
      <c r="F74" s="5"/>
      <c r="G74" s="5"/>
      <c r="H74" s="5"/>
      <c r="I74" s="5"/>
      <c r="J74" s="5"/>
      <c r="K74" s="5"/>
    </row>
    <row r="75" spans="2:11" ht="96">
      <c r="B75" s="2422"/>
      <c r="C75" s="72"/>
      <c r="D75" s="36" t="s">
        <v>1533</v>
      </c>
      <c r="E75" s="5"/>
      <c r="F75" s="5"/>
      <c r="G75" s="5"/>
      <c r="H75" s="5"/>
      <c r="I75" s="5"/>
      <c r="J75" s="5"/>
      <c r="K75" s="5"/>
    </row>
    <row r="76" spans="2:11">
      <c r="B76" s="2422"/>
      <c r="C76" s="72"/>
      <c r="D76" s="43" t="s">
        <v>833</v>
      </c>
      <c r="E76" s="5"/>
      <c r="F76" s="5"/>
      <c r="G76" s="5"/>
      <c r="H76" s="5"/>
      <c r="I76" s="5"/>
      <c r="J76" s="5"/>
      <c r="K76" s="5"/>
    </row>
    <row r="77" spans="2:11">
      <c r="B77" s="2422"/>
      <c r="C77" s="72"/>
      <c r="D77" s="36" t="s">
        <v>1534</v>
      </c>
      <c r="E77" s="5"/>
      <c r="F77" s="5"/>
      <c r="G77" s="5"/>
      <c r="H77" s="5"/>
      <c r="I77" s="5"/>
      <c r="J77" s="5"/>
      <c r="K77" s="5"/>
    </row>
    <row r="78" spans="2:11">
      <c r="B78" s="2422"/>
      <c r="C78" s="72"/>
      <c r="D78" s="36" t="s">
        <v>1535</v>
      </c>
      <c r="E78" s="5"/>
      <c r="F78" s="5"/>
      <c r="G78" s="5"/>
      <c r="H78" s="5"/>
      <c r="I78" s="5"/>
      <c r="J78" s="5"/>
      <c r="K78" s="5"/>
    </row>
    <row r="79" spans="2:11">
      <c r="B79" s="2422"/>
      <c r="C79" s="72"/>
      <c r="D79" s="43" t="s">
        <v>1085</v>
      </c>
      <c r="E79" s="5"/>
      <c r="F79" s="5"/>
      <c r="G79" s="5"/>
      <c r="H79" s="5"/>
      <c r="I79" s="5"/>
      <c r="J79" s="5"/>
      <c r="K79" s="5"/>
    </row>
    <row r="80" spans="2:11">
      <c r="B80" s="2422"/>
      <c r="C80" s="72"/>
      <c r="D80" s="36" t="s">
        <v>1536</v>
      </c>
      <c r="E80" s="5"/>
      <c r="F80" s="5"/>
      <c r="G80" s="5"/>
      <c r="H80" s="5"/>
      <c r="I80" s="5"/>
      <c r="J80" s="5"/>
      <c r="K80" s="5"/>
    </row>
    <row r="81" spans="2:11" ht="15" thickBot="1">
      <c r="B81" s="2423"/>
      <c r="C81" s="2"/>
      <c r="D81" s="32" t="s">
        <v>1537</v>
      </c>
      <c r="E81" s="5"/>
      <c r="F81" s="5"/>
      <c r="G81" s="5"/>
      <c r="H81" s="5"/>
      <c r="I81" s="5"/>
      <c r="J81" s="5"/>
      <c r="K81" s="5"/>
    </row>
    <row r="82" spans="2:11" ht="24.6" thickBot="1">
      <c r="B82" s="37" t="s">
        <v>842</v>
      </c>
      <c r="C82" s="2"/>
      <c r="D82" s="32"/>
      <c r="E82" s="5"/>
      <c r="F82" s="5"/>
      <c r="G82" s="5"/>
      <c r="H82" s="5"/>
      <c r="I82" s="5"/>
      <c r="J82" s="5"/>
      <c r="K82" s="5"/>
    </row>
    <row r="83" spans="2:11" ht="84">
      <c r="B83" s="2421" t="s">
        <v>843</v>
      </c>
      <c r="C83" s="72"/>
      <c r="D83" s="36" t="s">
        <v>1538</v>
      </c>
      <c r="E83" s="5"/>
      <c r="F83" s="5"/>
      <c r="G83" s="5"/>
      <c r="H83" s="5"/>
      <c r="I83" s="5"/>
      <c r="J83" s="5"/>
      <c r="K83" s="5"/>
    </row>
    <row r="84" spans="2:11">
      <c r="B84" s="2422"/>
      <c r="C84" s="72"/>
      <c r="D84" s="36" t="s">
        <v>1539</v>
      </c>
      <c r="E84" s="5"/>
      <c r="F84" s="5"/>
      <c r="G84" s="5"/>
      <c r="H84" s="5"/>
      <c r="I84" s="5"/>
      <c r="J84" s="5"/>
      <c r="K84" s="5"/>
    </row>
    <row r="85" spans="2:11" ht="84">
      <c r="B85" s="2422"/>
      <c r="C85" s="72"/>
      <c r="D85" s="36" t="s">
        <v>1540</v>
      </c>
      <c r="E85" s="5"/>
      <c r="F85" s="5"/>
      <c r="G85" s="5"/>
      <c r="H85" s="5"/>
      <c r="I85" s="5"/>
      <c r="J85" s="5"/>
      <c r="K85" s="5"/>
    </row>
    <row r="86" spans="2:11" ht="84">
      <c r="B86" s="2422"/>
      <c r="C86" s="72"/>
      <c r="D86" s="36" t="s">
        <v>1541</v>
      </c>
      <c r="E86" s="5"/>
      <c r="F86" s="5"/>
      <c r="G86" s="5"/>
      <c r="H86" s="5"/>
      <c r="I86" s="5"/>
      <c r="J86" s="5"/>
      <c r="K86" s="5"/>
    </row>
    <row r="87" spans="2:11" ht="84">
      <c r="B87" s="2422"/>
      <c r="C87" s="72"/>
      <c r="D87" s="36" t="s">
        <v>1542</v>
      </c>
      <c r="E87" s="5"/>
      <c r="F87" s="5"/>
      <c r="G87" s="5"/>
      <c r="H87" s="5"/>
      <c r="I87" s="5"/>
      <c r="J87" s="5"/>
      <c r="K87" s="5"/>
    </row>
    <row r="88" spans="2:11" ht="72">
      <c r="B88" s="2422"/>
      <c r="C88" s="72"/>
      <c r="D88" s="36" t="s">
        <v>1543</v>
      </c>
      <c r="E88" s="5"/>
      <c r="F88" s="5"/>
      <c r="G88" s="5"/>
      <c r="H88" s="5"/>
      <c r="I88" s="5"/>
      <c r="J88" s="5"/>
      <c r="K88" s="5"/>
    </row>
    <row r="89" spans="2:11" ht="60">
      <c r="B89" s="2422"/>
      <c r="C89" s="72"/>
      <c r="D89" s="36" t="s">
        <v>1544</v>
      </c>
      <c r="E89" s="5"/>
      <c r="F89" s="5"/>
      <c r="G89" s="5"/>
      <c r="H89" s="5"/>
      <c r="I89" s="5"/>
      <c r="J89" s="5"/>
      <c r="K89" s="5"/>
    </row>
    <row r="90" spans="2:11" ht="168">
      <c r="B90" s="2422"/>
      <c r="C90" s="72"/>
      <c r="D90" s="36" t="s">
        <v>1545</v>
      </c>
      <c r="E90" s="5"/>
      <c r="F90" s="5"/>
      <c r="G90" s="5"/>
      <c r="H90" s="5"/>
      <c r="I90" s="5"/>
      <c r="J90" s="5"/>
      <c r="K90" s="5"/>
    </row>
    <row r="91" spans="2:11" ht="132">
      <c r="B91" s="2422"/>
      <c r="C91" s="72"/>
      <c r="D91" s="36" t="s">
        <v>1546</v>
      </c>
      <c r="E91" s="5"/>
      <c r="F91" s="5"/>
      <c r="G91" s="5"/>
      <c r="H91" s="5"/>
      <c r="I91" s="5"/>
      <c r="J91" s="5"/>
      <c r="K91" s="5"/>
    </row>
    <row r="92" spans="2:11" ht="24">
      <c r="B92" s="2422"/>
      <c r="C92" s="72"/>
      <c r="D92" s="36" t="s">
        <v>1547</v>
      </c>
      <c r="E92" s="5"/>
      <c r="F92" s="5"/>
      <c r="G92" s="5"/>
      <c r="H92" s="5"/>
      <c r="I92" s="5"/>
      <c r="J92" s="5"/>
      <c r="K92" s="5"/>
    </row>
    <row r="93" spans="2:11" ht="24">
      <c r="B93" s="2422"/>
      <c r="C93" s="72"/>
      <c r="D93" s="21" t="s">
        <v>1548</v>
      </c>
      <c r="E93" s="5"/>
      <c r="F93" s="5"/>
      <c r="G93" s="5"/>
      <c r="H93" s="5"/>
      <c r="I93" s="5"/>
      <c r="J93" s="5"/>
      <c r="K93" s="5"/>
    </row>
    <row r="94" spans="2:11" ht="24">
      <c r="B94" s="2422"/>
      <c r="C94" s="72"/>
      <c r="D94" s="21" t="s">
        <v>1549</v>
      </c>
      <c r="E94" s="5"/>
      <c r="F94" s="5"/>
      <c r="G94" s="5"/>
      <c r="H94" s="5"/>
      <c r="I94" s="5"/>
      <c r="J94" s="5"/>
      <c r="K94" s="5"/>
    </row>
    <row r="95" spans="2:11" ht="36">
      <c r="B95" s="2422"/>
      <c r="C95" s="72"/>
      <c r="D95" s="21" t="s">
        <v>1550</v>
      </c>
      <c r="E95" s="5"/>
      <c r="F95" s="5"/>
      <c r="G95" s="5"/>
      <c r="H95" s="5"/>
      <c r="I95" s="5"/>
      <c r="J95" s="5"/>
      <c r="K95" s="5"/>
    </row>
    <row r="96" spans="2:11" ht="108">
      <c r="B96" s="2422"/>
      <c r="C96" s="72"/>
      <c r="D96" s="36" t="s">
        <v>1551</v>
      </c>
      <c r="E96" s="5"/>
      <c r="F96" s="5"/>
      <c r="G96" s="5"/>
      <c r="H96" s="5"/>
      <c r="I96" s="5"/>
      <c r="J96" s="5"/>
      <c r="K96" s="5"/>
    </row>
    <row r="97" spans="2:11" ht="48">
      <c r="B97" s="2422"/>
      <c r="C97" s="72"/>
      <c r="D97" s="36" t="s">
        <v>1552</v>
      </c>
      <c r="E97" s="5"/>
      <c r="F97" s="5"/>
      <c r="G97" s="5"/>
      <c r="H97" s="5"/>
      <c r="I97" s="5"/>
      <c r="J97" s="5"/>
      <c r="K97" s="5"/>
    </row>
    <row r="98" spans="2:11" ht="24">
      <c r="B98" s="2422"/>
      <c r="C98" s="72"/>
      <c r="D98" s="36" t="s">
        <v>1553</v>
      </c>
      <c r="E98" s="5"/>
      <c r="F98" s="5"/>
      <c r="G98" s="5"/>
      <c r="H98" s="5"/>
      <c r="I98" s="5"/>
      <c r="J98" s="5"/>
      <c r="K98" s="5"/>
    </row>
    <row r="99" spans="2:11" ht="48">
      <c r="B99" s="2422"/>
      <c r="C99" s="72"/>
      <c r="D99" s="51" t="s">
        <v>1554</v>
      </c>
      <c r="E99" s="5"/>
      <c r="F99" s="5"/>
      <c r="G99" s="5"/>
      <c r="H99" s="5"/>
      <c r="I99" s="5"/>
      <c r="J99" s="5"/>
      <c r="K99" s="5"/>
    </row>
    <row r="100" spans="2:11" ht="24">
      <c r="B100" s="2422"/>
      <c r="C100" s="72"/>
      <c r="D100" s="51" t="s">
        <v>1555</v>
      </c>
      <c r="E100" s="5"/>
      <c r="F100" s="5"/>
      <c r="G100" s="5"/>
      <c r="H100" s="5"/>
      <c r="I100" s="5"/>
      <c r="J100" s="5"/>
      <c r="K100" s="5"/>
    </row>
    <row r="101" spans="2:11" ht="24">
      <c r="B101" s="2422"/>
      <c r="C101" s="72"/>
      <c r="D101" s="51" t="s">
        <v>1556</v>
      </c>
      <c r="E101" s="5"/>
      <c r="F101" s="5"/>
      <c r="G101" s="5"/>
      <c r="H101" s="5"/>
      <c r="I101" s="5"/>
      <c r="J101" s="5"/>
      <c r="K101" s="5"/>
    </row>
    <row r="102" spans="2:11" ht="24.6" thickBot="1">
      <c r="B102" s="2423"/>
      <c r="C102" s="2"/>
      <c r="D102" s="52" t="s">
        <v>1557</v>
      </c>
      <c r="E102" s="5"/>
      <c r="F102" s="5"/>
      <c r="G102" s="5"/>
      <c r="H102" s="5"/>
      <c r="I102" s="5"/>
      <c r="J102" s="5"/>
      <c r="K102" s="5"/>
    </row>
    <row r="103" spans="2:11" ht="24">
      <c r="B103" s="2421" t="s">
        <v>860</v>
      </c>
      <c r="C103" s="72"/>
      <c r="D103" s="43" t="s">
        <v>1558</v>
      </c>
      <c r="E103" s="5"/>
      <c r="F103" s="5"/>
      <c r="G103" s="5"/>
      <c r="H103" s="5"/>
      <c r="I103" s="5"/>
      <c r="J103" s="5"/>
      <c r="K103" s="5"/>
    </row>
    <row r="104" spans="2:11">
      <c r="B104" s="2422"/>
      <c r="C104" s="72"/>
      <c r="D104" s="13"/>
      <c r="E104" s="5"/>
      <c r="F104" s="5"/>
      <c r="G104" s="5"/>
      <c r="H104" s="5"/>
      <c r="I104" s="5"/>
      <c r="J104" s="5"/>
      <c r="K104" s="5"/>
    </row>
    <row r="105" spans="2:11">
      <c r="B105" s="2422"/>
      <c r="C105" s="72"/>
      <c r="D105" s="36" t="s">
        <v>861</v>
      </c>
      <c r="E105" s="5"/>
      <c r="F105" s="5"/>
      <c r="G105" s="5"/>
      <c r="H105" s="5"/>
      <c r="I105" s="5"/>
      <c r="J105" s="5"/>
      <c r="K105" s="5"/>
    </row>
    <row r="106" spans="2:11" ht="38.4">
      <c r="B106" s="2422"/>
      <c r="C106" s="72"/>
      <c r="D106" s="36" t="s">
        <v>1559</v>
      </c>
      <c r="E106" s="5"/>
      <c r="F106" s="5"/>
      <c r="G106" s="5"/>
      <c r="H106" s="5"/>
      <c r="I106" s="5"/>
      <c r="J106" s="5"/>
      <c r="K106" s="5"/>
    </row>
    <row r="107" spans="2:11" ht="26.4">
      <c r="B107" s="2422"/>
      <c r="C107" s="72"/>
      <c r="D107" s="36" t="s">
        <v>1560</v>
      </c>
      <c r="E107" s="5"/>
      <c r="F107" s="5"/>
      <c r="G107" s="5"/>
      <c r="H107" s="5"/>
      <c r="I107" s="5"/>
      <c r="J107" s="5"/>
      <c r="K107" s="5"/>
    </row>
    <row r="108" spans="2:11" ht="38.4">
      <c r="B108" s="2422"/>
      <c r="C108" s="72"/>
      <c r="D108" s="36" t="s">
        <v>1561</v>
      </c>
      <c r="E108" s="5"/>
      <c r="F108" s="5"/>
      <c r="G108" s="5"/>
      <c r="H108" s="5"/>
      <c r="I108" s="5"/>
      <c r="J108" s="5"/>
      <c r="K108" s="5"/>
    </row>
    <row r="109" spans="2:11">
      <c r="B109" s="2422"/>
      <c r="C109" s="72"/>
      <c r="D109" s="43" t="s">
        <v>1021</v>
      </c>
      <c r="E109" s="5"/>
      <c r="F109" s="5"/>
      <c r="G109" s="5"/>
      <c r="H109" s="5"/>
      <c r="I109" s="5"/>
      <c r="J109" s="5"/>
      <c r="K109" s="5"/>
    </row>
    <row r="110" spans="2:11" ht="36">
      <c r="B110" s="2422"/>
      <c r="C110" s="72"/>
      <c r="D110" s="43" t="s">
        <v>1514</v>
      </c>
      <c r="E110" s="5"/>
      <c r="F110" s="5"/>
      <c r="G110" s="5"/>
      <c r="H110" s="5"/>
      <c r="I110" s="5"/>
      <c r="J110" s="5"/>
      <c r="K110" s="5"/>
    </row>
    <row r="111" spans="2:11">
      <c r="B111" s="2422"/>
      <c r="C111" s="72"/>
      <c r="D111" s="13"/>
      <c r="E111" s="5"/>
      <c r="F111" s="5"/>
      <c r="G111" s="5"/>
      <c r="H111" s="5"/>
      <c r="I111" s="5"/>
      <c r="J111" s="5"/>
      <c r="K111" s="5"/>
    </row>
    <row r="112" spans="2:11">
      <c r="B112" s="2422"/>
      <c r="C112" s="72"/>
      <c r="D112" s="36" t="s">
        <v>861</v>
      </c>
      <c r="E112" s="5"/>
      <c r="F112" s="5"/>
      <c r="G112" s="5"/>
      <c r="H112" s="5"/>
      <c r="I112" s="5"/>
      <c r="J112" s="5"/>
      <c r="K112" s="5"/>
    </row>
    <row r="113" spans="2:11" ht="50.4">
      <c r="B113" s="2422"/>
      <c r="C113" s="72"/>
      <c r="D113" s="36" t="s">
        <v>1562</v>
      </c>
      <c r="E113" s="5"/>
      <c r="F113" s="5"/>
      <c r="G113" s="5"/>
      <c r="H113" s="5"/>
      <c r="I113" s="5"/>
      <c r="J113" s="5"/>
      <c r="K113" s="5"/>
    </row>
    <row r="114" spans="2:11" ht="50.4">
      <c r="B114" s="2422"/>
      <c r="C114" s="72"/>
      <c r="D114" s="36" t="s">
        <v>1563</v>
      </c>
      <c r="E114" s="5"/>
      <c r="F114" s="5"/>
      <c r="G114" s="5"/>
      <c r="H114" s="5"/>
      <c r="I114" s="5"/>
      <c r="J114" s="5"/>
      <c r="K114" s="5"/>
    </row>
    <row r="115" spans="2:11" ht="51" thickBot="1">
      <c r="B115" s="2423"/>
      <c r="C115" s="2"/>
      <c r="D115" s="32" t="s">
        <v>1564</v>
      </c>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sheetData>
  <sheetProtection insertRows="0"/>
  <mergeCells count="40">
    <mergeCell ref="B10:D10"/>
    <mergeCell ref="F10:S10"/>
    <mergeCell ref="F11:S11"/>
    <mergeCell ref="E12:R12"/>
    <mergeCell ref="E13:R13"/>
    <mergeCell ref="D16:K16"/>
    <mergeCell ref="D21:K21"/>
    <mergeCell ref="D33:D35"/>
    <mergeCell ref="E33:F33"/>
    <mergeCell ref="E34:E35"/>
    <mergeCell ref="G34:G35"/>
    <mergeCell ref="B83:B102"/>
    <mergeCell ref="B103:B115"/>
    <mergeCell ref="C24:C26"/>
    <mergeCell ref="D24:D26"/>
    <mergeCell ref="E24:E26"/>
    <mergeCell ref="B74:B81"/>
    <mergeCell ref="B53:E53"/>
    <mergeCell ref="B54:B60"/>
    <mergeCell ref="B15:B20"/>
    <mergeCell ref="B67:F68"/>
    <mergeCell ref="B62:F62"/>
    <mergeCell ref="D22:K22"/>
    <mergeCell ref="D23:K23"/>
    <mergeCell ref="D31:K31"/>
    <mergeCell ref="D32:K32"/>
    <mergeCell ref="B44:E44"/>
    <mergeCell ref="B45:B51"/>
    <mergeCell ref="F24:F26"/>
    <mergeCell ref="G24:J24"/>
    <mergeCell ref="H25:H26"/>
    <mergeCell ref="I25:I26"/>
    <mergeCell ref="J25:J26"/>
    <mergeCell ref="C33:C35"/>
    <mergeCell ref="D15:K15"/>
    <mergeCell ref="A1:P1"/>
    <mergeCell ref="A2:P2"/>
    <mergeCell ref="A3:P3"/>
    <mergeCell ref="A4:D4"/>
    <mergeCell ref="A5:P5"/>
  </mergeCells>
  <conditionalFormatting sqref="D39">
    <cfRule type="containsText" dxfId="54" priority="5" operator="containsText" text="ERROR">
      <formula>NOT(ISERROR(SEARCH("ERROR",D39)))</formula>
    </cfRule>
  </conditionalFormatting>
  <conditionalFormatting sqref="E12:R12">
    <cfRule type="expression" dxfId="53" priority="1">
      <formula>E11="SI SE REPORTA"</formula>
    </cfRule>
  </conditionalFormatting>
  <conditionalFormatting sqref="F10">
    <cfRule type="notContainsBlanks" dxfId="52" priority="4">
      <formula>LEN(TRIM(F10))&gt;0</formula>
    </cfRule>
  </conditionalFormatting>
  <conditionalFormatting sqref="F11:S11">
    <cfRule type="expression" dxfId="51" priority="2">
      <formula>E11="NO SE REPORTA"</formula>
    </cfRule>
    <cfRule type="expression" dxfId="50"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H19" xr:uid="{00000000-0002-0000-1600-000000000000}">
      <formula1>0</formula1>
    </dataValidation>
    <dataValidation type="whole" operator="greaterThanOrEqual" allowBlank="1" showInputMessage="1" showErrorMessage="1" errorTitle="ERROR" error="Valor en PESOS (sin centavos)" sqref="J28" xr:uid="{00000000-0002-0000-1600-000001000000}">
      <formula1>0</formula1>
    </dataValidation>
    <dataValidation allowBlank="1" showInputMessage="1" showErrorMessage="1" sqref="D39 I18:I19 G30:J30 E36:F39" xr:uid="{00000000-0002-0000-1600-000003000000}"/>
    <dataValidation type="list" allowBlank="1" showInputMessage="1" showErrorMessage="1" sqref="E11" xr:uid="{00000000-0002-0000-1600-000004000000}">
      <formula1>REPORTE</formula1>
    </dataValidation>
    <dataValidation type="list" allowBlank="1" showInputMessage="1" showErrorMessage="1" sqref="E10" xr:uid="{00000000-0002-0000-1600-000005000000}">
      <formula1>SI</formula1>
    </dataValidation>
    <dataValidation type="decimal" allowBlank="1" showInputMessage="1" showErrorMessage="1" errorTitle="ERROR" error="Escriba un valor entre 0% y 100%" sqref="D36:D38" xr:uid="{00000000-0002-0000-1600-000002000000}">
      <formula1>0</formula1>
      <formula2>1</formula2>
    </dataValidation>
  </dataValidations>
  <hyperlinks>
    <hyperlink ref="B9" location="'ANEXO 3'!A1" display="VOLVER AL INDICE" xr:uid="{00000000-0004-0000-1600-000000000000}"/>
    <hyperlink ref="E49" r:id="rId1" xr:uid="{00000000-0004-0000-1600-000001000000}"/>
  </hyperlinks>
  <pageMargins left="0.25" right="0.25" top="0.75" bottom="0.75" header="0.3" footer="0.3"/>
  <pageSetup paperSize="178" orientation="landscape" horizontalDpi="1200" verticalDpi="1200" r:id="rId2"/>
  <drawing r:id="rId3"/>
  <legacy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tabColor theme="0" tint="-0.14999847407452621"/>
  </sheetPr>
  <dimension ref="A1:U189"/>
  <sheetViews>
    <sheetView topLeftCell="A52" zoomScale="75" zoomScaleNormal="75" workbookViewId="0">
      <selection activeCell="A5" sqref="A5:P5"/>
    </sheetView>
  </sheetViews>
  <sheetFormatPr baseColWidth="10" defaultColWidth="11.44140625" defaultRowHeight="14.4"/>
  <cols>
    <col min="1" max="1" width="1.88671875" customWidth="1"/>
    <col min="2" max="2" width="12.88671875" customWidth="1"/>
    <col min="3" max="3" width="10" style="65" customWidth="1"/>
    <col min="4" max="4" width="59.109375" customWidth="1"/>
    <col min="5" max="5" width="30.44140625" customWidth="1"/>
    <col min="6" max="6" width="16.44140625" customWidth="1"/>
    <col min="7" max="7" width="15.88671875" customWidth="1"/>
    <col min="8" max="8" width="15.33203125" customWidth="1"/>
    <col min="9" max="9" width="17.44140625" customWidth="1"/>
    <col min="10" max="10" width="25.6640625" customWidth="1"/>
    <col min="11" max="11" width="17.4414062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28</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0" t="s">
        <v>739</v>
      </c>
      <c r="C8" s="539">
        <v>2025</v>
      </c>
      <c r="D8" s="164">
        <f>IF(E10="NO APLICA","NO APLICA",IF(E11="NO SE REPORTA","SIN INFORMACION",+I36))</f>
        <v>0.9998999999999999</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384.75" customHeight="1">
      <c r="B12" s="290"/>
      <c r="C12" s="66"/>
      <c r="D12" s="141" t="str">
        <f>IF(E11="SI SE REPORTA","¿Qué programas o proyectos del Plan de Acción están asociados al indicador? ","")</f>
        <v xml:space="preserve">¿Qué programas o proyectos del Plan de Acción están asociados al indicador? </v>
      </c>
      <c r="E12" s="2719" t="s">
        <v>1565</v>
      </c>
      <c r="F12" s="2719"/>
      <c r="G12" s="2719"/>
      <c r="H12" s="2719"/>
      <c r="I12" s="2719"/>
      <c r="J12" s="2719"/>
      <c r="K12" s="2719"/>
      <c r="L12" s="2719"/>
      <c r="M12" s="2719"/>
      <c r="N12" s="2719"/>
      <c r="O12" s="2719"/>
      <c r="P12" s="2719"/>
      <c r="Q12" s="2719"/>
      <c r="R12" s="2719"/>
    </row>
    <row r="13" spans="1:21" ht="21.9" customHeight="1">
      <c r="B13" s="290"/>
      <c r="C13" s="66"/>
      <c r="D13" s="141" t="s">
        <v>746</v>
      </c>
      <c r="E13" s="2501"/>
      <c r="F13" s="2502"/>
      <c r="G13" s="2502"/>
      <c r="H13" s="2502"/>
      <c r="I13" s="2502"/>
      <c r="J13" s="2502"/>
      <c r="K13" s="2502"/>
      <c r="L13" s="2502"/>
      <c r="M13" s="2502"/>
      <c r="N13" s="2502"/>
      <c r="O13" s="2502"/>
      <c r="P13" s="2502"/>
      <c r="Q13" s="2502"/>
      <c r="R13" s="2503"/>
    </row>
    <row r="14" spans="1:21" ht="6.9" customHeight="1" thickBot="1">
      <c r="B14" s="290"/>
      <c r="D14" s="5"/>
      <c r="E14" s="5"/>
      <c r="F14" s="5"/>
      <c r="G14" s="5"/>
      <c r="H14" s="5"/>
      <c r="I14" s="5"/>
      <c r="J14" s="5"/>
      <c r="K14" s="5"/>
    </row>
    <row r="15" spans="1:21" ht="15" customHeight="1" thickTop="1">
      <c r="B15" s="2548" t="s">
        <v>747</v>
      </c>
      <c r="C15" s="67"/>
      <c r="D15" s="2412" t="s">
        <v>1103</v>
      </c>
      <c r="E15" s="2413"/>
      <c r="F15" s="2413"/>
      <c r="G15" s="2413"/>
      <c r="H15" s="2413"/>
      <c r="I15" s="2413"/>
      <c r="J15" s="2413"/>
      <c r="K15" s="2413"/>
      <c r="L15" s="2615"/>
    </row>
    <row r="16" spans="1:21" ht="26.25" customHeight="1" thickBot="1">
      <c r="B16" s="2453"/>
      <c r="C16" s="70"/>
      <c r="D16" s="2674" t="s">
        <v>1566</v>
      </c>
      <c r="E16" s="2675"/>
      <c r="F16" s="2675"/>
      <c r="G16" s="2675"/>
      <c r="H16" s="2675"/>
      <c r="I16" s="2675"/>
      <c r="J16" s="2675"/>
      <c r="K16" s="2675"/>
      <c r="L16" s="2706"/>
    </row>
    <row r="17" spans="2:12" ht="15" thickBot="1">
      <c r="B17" s="2453"/>
      <c r="C17" s="68" t="s">
        <v>698</v>
      </c>
      <c r="D17" s="30" t="s">
        <v>1004</v>
      </c>
      <c r="E17" s="508" t="s">
        <v>784</v>
      </c>
      <c r="F17" s="508" t="s">
        <v>593</v>
      </c>
      <c r="G17" s="508" t="s">
        <v>594</v>
      </c>
      <c r="H17" s="508" t="s">
        <v>595</v>
      </c>
      <c r="I17" s="508" t="s">
        <v>1435</v>
      </c>
      <c r="J17" s="5"/>
      <c r="L17" s="17"/>
    </row>
    <row r="18" spans="2:12" ht="15" thickBot="1">
      <c r="B18" s="2453"/>
      <c r="C18" s="69" t="s">
        <v>906</v>
      </c>
      <c r="D18" s="32" t="s">
        <v>1567</v>
      </c>
      <c r="E18" s="494">
        <v>13</v>
      </c>
      <c r="F18" s="494"/>
      <c r="G18" s="494"/>
      <c r="H18" s="494"/>
      <c r="I18" s="501">
        <f>SUM(E18:H18)</f>
        <v>13</v>
      </c>
      <c r="J18" s="499"/>
      <c r="L18" s="17"/>
    </row>
    <row r="19" spans="2:12">
      <c r="B19" s="2453"/>
      <c r="C19" s="70"/>
      <c r="D19" s="2403"/>
      <c r="E19" s="2404"/>
      <c r="F19" s="2404"/>
      <c r="G19" s="2404"/>
      <c r="H19" s="2404"/>
      <c r="I19" s="2404"/>
      <c r="J19" s="2404"/>
      <c r="K19" s="2404"/>
      <c r="L19" s="2598"/>
    </row>
    <row r="20" spans="2:12" ht="15" thickBot="1">
      <c r="B20" s="168"/>
      <c r="C20" s="70"/>
      <c r="D20" s="2403" t="s">
        <v>1568</v>
      </c>
      <c r="E20" s="2404"/>
      <c r="F20" s="2404"/>
      <c r="G20" s="2404"/>
      <c r="H20" s="2404"/>
      <c r="I20" s="2404"/>
      <c r="J20" s="2404"/>
      <c r="K20" s="2404"/>
      <c r="L20" s="2598"/>
    </row>
    <row r="21" spans="2:12" ht="42.75" customHeight="1" thickBot="1">
      <c r="B21" s="168"/>
      <c r="C21" s="2549" t="s">
        <v>698</v>
      </c>
      <c r="D21" s="2654" t="s">
        <v>1023</v>
      </c>
      <c r="E21" s="2654" t="s">
        <v>1438</v>
      </c>
      <c r="F21" s="2709" t="s">
        <v>1439</v>
      </c>
      <c r="G21" s="2710"/>
      <c r="H21" s="2710"/>
      <c r="I21" s="2710"/>
      <c r="J21" s="2711"/>
      <c r="L21" s="17"/>
    </row>
    <row r="22" spans="2:12" ht="48.75" customHeight="1" thickBot="1">
      <c r="B22" s="168"/>
      <c r="C22" s="2712"/>
      <c r="D22" s="2708"/>
      <c r="E22" s="2708"/>
      <c r="F22" s="948" t="s">
        <v>1440</v>
      </c>
      <c r="G22" s="948" t="s">
        <v>1441</v>
      </c>
      <c r="H22" s="948" t="s">
        <v>1442</v>
      </c>
      <c r="I22" s="949" t="s">
        <v>1443</v>
      </c>
      <c r="J22" s="948" t="s">
        <v>702</v>
      </c>
      <c r="L22" s="17"/>
    </row>
    <row r="23" spans="2:12" ht="65.25" customHeight="1">
      <c r="B23" s="182"/>
      <c r="C23" s="748">
        <v>1</v>
      </c>
      <c r="D23" s="824" t="s">
        <v>1569</v>
      </c>
      <c r="E23" s="761" t="s">
        <v>1570</v>
      </c>
      <c r="F23" s="822">
        <v>0.7</v>
      </c>
      <c r="G23" s="822">
        <v>1</v>
      </c>
      <c r="H23" s="629">
        <v>9.0899999999999995E-2</v>
      </c>
      <c r="I23" s="826">
        <f>+G23*H23</f>
        <v>9.0899999999999995E-2</v>
      </c>
      <c r="J23" s="869"/>
      <c r="L23" s="17"/>
    </row>
    <row r="24" spans="2:12" ht="61.5" customHeight="1">
      <c r="B24" s="182"/>
      <c r="C24" s="749">
        <v>2</v>
      </c>
      <c r="D24" s="744" t="s">
        <v>1571</v>
      </c>
      <c r="E24" s="762" t="s">
        <v>1570</v>
      </c>
      <c r="F24" s="668">
        <v>0.17</v>
      </c>
      <c r="G24" s="668">
        <v>1</v>
      </c>
      <c r="H24" s="669">
        <v>9.0899999999999995E-2</v>
      </c>
      <c r="I24" s="826">
        <f t="shared" ref="I24:I35" si="0">+G24*H24</f>
        <v>9.0899999999999995E-2</v>
      </c>
      <c r="J24" s="868"/>
      <c r="L24" s="17"/>
    </row>
    <row r="25" spans="2:12" ht="73.5" customHeight="1">
      <c r="B25" s="182"/>
      <c r="C25" s="750">
        <v>3</v>
      </c>
      <c r="D25" s="745" t="s">
        <v>2089</v>
      </c>
      <c r="E25" s="762" t="s">
        <v>1570</v>
      </c>
      <c r="F25" s="509">
        <v>0.5</v>
      </c>
      <c r="G25" s="509">
        <v>1</v>
      </c>
      <c r="H25" s="669">
        <v>9.0899999999999995E-2</v>
      </c>
      <c r="I25" s="826">
        <f t="shared" si="0"/>
        <v>9.0899999999999995E-2</v>
      </c>
      <c r="J25" s="667"/>
      <c r="K25" s="536"/>
      <c r="L25" s="17"/>
    </row>
    <row r="26" spans="2:12" ht="105" customHeight="1">
      <c r="B26" s="182"/>
      <c r="C26" s="750">
        <v>4</v>
      </c>
      <c r="D26" s="736" t="s">
        <v>1572</v>
      </c>
      <c r="E26" s="762" t="s">
        <v>1570</v>
      </c>
      <c r="F26" s="509">
        <v>0.25</v>
      </c>
      <c r="G26" s="509">
        <v>1</v>
      </c>
      <c r="H26" s="669">
        <v>9.0899999999999995E-2</v>
      </c>
      <c r="I26" s="826">
        <f t="shared" si="0"/>
        <v>9.0899999999999995E-2</v>
      </c>
      <c r="J26" s="666"/>
      <c r="L26" s="17"/>
    </row>
    <row r="27" spans="2:12" ht="89.25" customHeight="1">
      <c r="B27" s="182"/>
      <c r="C27" s="750">
        <v>5</v>
      </c>
      <c r="D27" s="736" t="s">
        <v>2090</v>
      </c>
      <c r="E27" s="762" t="s">
        <v>1570</v>
      </c>
      <c r="F27" s="509">
        <v>0.33</v>
      </c>
      <c r="G27" s="509">
        <v>1</v>
      </c>
      <c r="H27" s="669">
        <v>9.0899999999999995E-2</v>
      </c>
      <c r="I27" s="826">
        <f t="shared" si="0"/>
        <v>9.0899999999999995E-2</v>
      </c>
      <c r="J27" s="666"/>
      <c r="L27" s="17"/>
    </row>
    <row r="28" spans="2:12" ht="65.25" customHeight="1">
      <c r="B28" s="182"/>
      <c r="C28" s="750">
        <v>6</v>
      </c>
      <c r="D28" s="736" t="s">
        <v>1573</v>
      </c>
      <c r="E28" s="762" t="s">
        <v>1570</v>
      </c>
      <c r="F28" s="509">
        <v>0.5</v>
      </c>
      <c r="G28" s="509">
        <v>1</v>
      </c>
      <c r="H28" s="669">
        <v>9.0899999999999995E-2</v>
      </c>
      <c r="I28" s="826">
        <f t="shared" si="0"/>
        <v>9.0899999999999995E-2</v>
      </c>
      <c r="J28" s="871"/>
      <c r="L28" s="17"/>
    </row>
    <row r="29" spans="2:12" ht="23.25" customHeight="1">
      <c r="B29" s="182"/>
      <c r="C29" s="859">
        <v>7</v>
      </c>
      <c r="D29" s="860" t="s">
        <v>1574</v>
      </c>
      <c r="E29" s="861" t="s">
        <v>1570</v>
      </c>
      <c r="F29" s="862"/>
      <c r="G29" s="862"/>
      <c r="H29" s="863"/>
      <c r="I29" s="864">
        <f t="shared" si="0"/>
        <v>0</v>
      </c>
      <c r="J29" s="872" t="s">
        <v>2084</v>
      </c>
      <c r="L29" s="17"/>
    </row>
    <row r="30" spans="2:12" ht="72" customHeight="1">
      <c r="B30" s="182"/>
      <c r="C30" s="750">
        <v>8</v>
      </c>
      <c r="D30" s="746" t="s">
        <v>1575</v>
      </c>
      <c r="E30" s="762" t="s">
        <v>1570</v>
      </c>
      <c r="F30" s="509">
        <v>0.5</v>
      </c>
      <c r="G30" s="509">
        <v>1</v>
      </c>
      <c r="H30" s="669">
        <v>9.0899999999999995E-2</v>
      </c>
      <c r="I30" s="826">
        <f t="shared" si="0"/>
        <v>9.0899999999999995E-2</v>
      </c>
      <c r="J30" s="871"/>
      <c r="L30" s="17"/>
    </row>
    <row r="31" spans="2:12" ht="18.75" customHeight="1">
      <c r="B31" s="182"/>
      <c r="C31" s="859">
        <v>9</v>
      </c>
      <c r="D31" s="865" t="s">
        <v>1576</v>
      </c>
      <c r="E31" s="861" t="s">
        <v>1570</v>
      </c>
      <c r="F31" s="866"/>
      <c r="G31" s="866"/>
      <c r="H31" s="867"/>
      <c r="I31" s="864">
        <f t="shared" si="0"/>
        <v>0</v>
      </c>
      <c r="J31" s="870" t="s">
        <v>2084</v>
      </c>
      <c r="L31" s="17"/>
    </row>
    <row r="32" spans="2:12" ht="72" customHeight="1">
      <c r="B32" s="182"/>
      <c r="C32" s="750">
        <v>10</v>
      </c>
      <c r="D32" s="747" t="s">
        <v>1577</v>
      </c>
      <c r="E32" s="762" t="s">
        <v>1570</v>
      </c>
      <c r="F32" s="743">
        <v>0.25</v>
      </c>
      <c r="G32" s="743">
        <v>1</v>
      </c>
      <c r="H32" s="858">
        <v>9.0899999999999995E-2</v>
      </c>
      <c r="I32" s="826">
        <f t="shared" si="0"/>
        <v>9.0899999999999995E-2</v>
      </c>
      <c r="J32" s="666"/>
      <c r="L32" s="17"/>
    </row>
    <row r="33" spans="2:12" ht="72" customHeight="1">
      <c r="B33" s="182"/>
      <c r="C33" s="750">
        <v>11</v>
      </c>
      <c r="D33" s="747" t="s">
        <v>1578</v>
      </c>
      <c r="E33" s="762" t="s">
        <v>1570</v>
      </c>
      <c r="F33" s="743">
        <v>0.5</v>
      </c>
      <c r="G33" s="743">
        <v>1</v>
      </c>
      <c r="H33" s="858">
        <v>9.0899999999999995E-2</v>
      </c>
      <c r="I33" s="826">
        <f t="shared" si="0"/>
        <v>9.0899999999999995E-2</v>
      </c>
      <c r="J33" s="666"/>
      <c r="L33" s="17"/>
    </row>
    <row r="34" spans="2:12" ht="72" customHeight="1">
      <c r="B34" s="182"/>
      <c r="C34" s="750">
        <v>12</v>
      </c>
      <c r="D34" s="747" t="s">
        <v>1579</v>
      </c>
      <c r="E34" s="762" t="s">
        <v>1570</v>
      </c>
      <c r="F34" s="743">
        <v>0.5</v>
      </c>
      <c r="G34" s="743">
        <v>1</v>
      </c>
      <c r="H34" s="858">
        <v>9.0899999999999995E-2</v>
      </c>
      <c r="I34" s="826">
        <f t="shared" si="0"/>
        <v>9.0899999999999995E-2</v>
      </c>
      <c r="J34" s="666"/>
      <c r="L34" s="17"/>
    </row>
    <row r="35" spans="2:12" ht="73.5" customHeight="1" thickBot="1">
      <c r="B35" s="182"/>
      <c r="C35" s="751">
        <v>13</v>
      </c>
      <c r="D35" s="737" t="s">
        <v>1580</v>
      </c>
      <c r="E35" s="762" t="s">
        <v>1570</v>
      </c>
      <c r="F35" s="555">
        <v>0.5</v>
      </c>
      <c r="G35" s="555">
        <v>1</v>
      </c>
      <c r="H35" s="858">
        <v>9.0899999999999995E-2</v>
      </c>
      <c r="I35" s="827">
        <f t="shared" si="0"/>
        <v>9.0899999999999995E-2</v>
      </c>
      <c r="J35" s="808"/>
      <c r="L35" s="17"/>
    </row>
    <row r="36" spans="2:12" ht="28.5" customHeight="1" thickBot="1">
      <c r="B36" s="168"/>
      <c r="C36" s="72"/>
      <c r="D36" s="31"/>
      <c r="E36" s="763" t="s">
        <v>905</v>
      </c>
      <c r="F36" s="31"/>
      <c r="G36" s="31"/>
      <c r="H36" s="129">
        <f>SUM(H23:H35)</f>
        <v>0.9998999999999999</v>
      </c>
      <c r="I36" s="129">
        <f>SUM(I23:I35)</f>
        <v>0.9998999999999999</v>
      </c>
      <c r="J36" s="230"/>
      <c r="L36" s="17"/>
    </row>
    <row r="37" spans="2:12">
      <c r="B37" s="168"/>
      <c r="C37" s="70"/>
      <c r="D37" s="2403" t="s">
        <v>1452</v>
      </c>
      <c r="E37" s="2404"/>
      <c r="F37" s="2404"/>
      <c r="G37" s="2404"/>
      <c r="H37" s="2404"/>
      <c r="I37" s="2404"/>
      <c r="J37" s="2404"/>
      <c r="K37" s="2404"/>
      <c r="L37" s="2598"/>
    </row>
    <row r="38" spans="2:12">
      <c r="B38" s="168"/>
      <c r="C38" s="70"/>
      <c r="D38" s="2415" t="s">
        <v>1021</v>
      </c>
      <c r="E38" s="2416"/>
      <c r="F38" s="2416"/>
      <c r="G38" s="2416"/>
      <c r="H38" s="2416"/>
      <c r="I38" s="2416"/>
      <c r="J38" s="2416"/>
      <c r="K38" s="2416"/>
      <c r="L38" s="2599"/>
    </row>
    <row r="39" spans="2:12" ht="22.5" customHeight="1" thickBot="1">
      <c r="B39" s="168"/>
      <c r="C39" s="70"/>
      <c r="D39" s="2406" t="s">
        <v>1581</v>
      </c>
      <c r="E39" s="2407"/>
      <c r="F39" s="2407"/>
      <c r="G39" s="2407"/>
      <c r="H39" s="2407"/>
      <c r="I39" s="2407"/>
      <c r="J39" s="2407"/>
      <c r="K39" s="2407"/>
      <c r="L39" s="2707"/>
    </row>
    <row r="40" spans="2:12" ht="23.25" customHeight="1" thickBot="1">
      <c r="B40" s="168"/>
      <c r="C40" s="2549" t="s">
        <v>698</v>
      </c>
      <c r="D40" s="2601" t="s">
        <v>1023</v>
      </c>
      <c r="E40" s="2601" t="s">
        <v>1438</v>
      </c>
      <c r="F40" s="2713" t="s">
        <v>1516</v>
      </c>
      <c r="G40" s="2714"/>
      <c r="H40" s="2714"/>
      <c r="I40" s="2714"/>
      <c r="J40" s="2714"/>
      <c r="K40" s="2715"/>
      <c r="L40" s="94"/>
    </row>
    <row r="41" spans="2:12" ht="39.75" customHeight="1" thickBot="1">
      <c r="B41" s="168"/>
      <c r="C41" s="2712"/>
      <c r="D41" s="2602"/>
      <c r="E41" s="2602"/>
      <c r="F41" s="752" t="s">
        <v>1582</v>
      </c>
      <c r="G41" s="717" t="s">
        <v>1114</v>
      </c>
      <c r="H41" s="717" t="s">
        <v>1027</v>
      </c>
      <c r="I41" s="717" t="s">
        <v>1028</v>
      </c>
      <c r="J41" s="717" t="s">
        <v>1583</v>
      </c>
      <c r="K41" s="717" t="s">
        <v>1584</v>
      </c>
      <c r="L41" s="8"/>
    </row>
    <row r="42" spans="2:12" ht="60">
      <c r="B42" s="182"/>
      <c r="C42" s="738">
        <v>1</v>
      </c>
      <c r="D42" s="824" t="s">
        <v>2093</v>
      </c>
      <c r="E42" s="761" t="s">
        <v>1570</v>
      </c>
      <c r="F42" s="631">
        <v>135000000</v>
      </c>
      <c r="G42" s="631">
        <v>135000000</v>
      </c>
      <c r="H42" s="690">
        <v>134557034</v>
      </c>
      <c r="I42" s="631">
        <v>43165355</v>
      </c>
      <c r="J42" s="630">
        <f>+H42/G42</f>
        <v>0.99671877037037038</v>
      </c>
      <c r="K42" s="886">
        <f>+I42/H42</f>
        <v>0.32079597563067569</v>
      </c>
      <c r="L42" s="8"/>
    </row>
    <row r="43" spans="2:12" ht="62.4" customHeight="1">
      <c r="B43" s="182"/>
      <c r="C43" s="739">
        <v>2</v>
      </c>
      <c r="D43" s="744" t="s">
        <v>2094</v>
      </c>
      <c r="E43" s="762" t="s">
        <v>1570</v>
      </c>
      <c r="F43" s="631">
        <v>135000000</v>
      </c>
      <c r="G43" s="631">
        <v>135000000</v>
      </c>
      <c r="H43" s="690">
        <v>134557034</v>
      </c>
      <c r="I43" s="631">
        <v>43165355</v>
      </c>
      <c r="J43" s="630">
        <f>+H43/G43</f>
        <v>0.99671877037037038</v>
      </c>
      <c r="K43" s="887">
        <f>+I43/H43</f>
        <v>0.32079597563067569</v>
      </c>
      <c r="L43" s="8"/>
    </row>
    <row r="44" spans="2:12" ht="62.25" customHeight="1">
      <c r="B44" s="182"/>
      <c r="C44" s="740">
        <v>3</v>
      </c>
      <c r="D44" s="745" t="s">
        <v>2095</v>
      </c>
      <c r="E44" s="762" t="s">
        <v>1570</v>
      </c>
      <c r="F44" s="632">
        <v>162000000</v>
      </c>
      <c r="G44" s="632">
        <v>162000000</v>
      </c>
      <c r="H44" s="632">
        <v>161747240</v>
      </c>
      <c r="I44" s="632">
        <v>27441295</v>
      </c>
      <c r="J44" s="554">
        <f t="shared" ref="J44:J55" si="1">+H44/G44</f>
        <v>0.99843975308641975</v>
      </c>
      <c r="K44" s="888">
        <f t="shared" ref="K44:K55" si="2">+I44/H44</f>
        <v>0.16965541421294114</v>
      </c>
      <c r="L44" s="8"/>
    </row>
    <row r="45" spans="2:12" ht="107.25" customHeight="1">
      <c r="B45" s="182"/>
      <c r="C45" s="740">
        <v>4</v>
      </c>
      <c r="D45" s="736" t="s">
        <v>2096</v>
      </c>
      <c r="E45" s="762" t="s">
        <v>1570</v>
      </c>
      <c r="F45" s="632">
        <v>512550000</v>
      </c>
      <c r="G45" s="632">
        <v>512550000</v>
      </c>
      <c r="H45" s="632">
        <v>312962769</v>
      </c>
      <c r="I45" s="632">
        <v>103232413</v>
      </c>
      <c r="J45" s="554">
        <f t="shared" si="1"/>
        <v>0.6105994907813872</v>
      </c>
      <c r="K45" s="888">
        <f t="shared" si="2"/>
        <v>0.32985525188780523</v>
      </c>
      <c r="L45" s="8"/>
    </row>
    <row r="46" spans="2:12" ht="84">
      <c r="B46" s="182"/>
      <c r="C46" s="740">
        <v>5</v>
      </c>
      <c r="D46" s="736" t="s">
        <v>2097</v>
      </c>
      <c r="E46" s="762" t="s">
        <v>1570</v>
      </c>
      <c r="F46" s="632">
        <v>512550000</v>
      </c>
      <c r="G46" s="632">
        <v>512550000</v>
      </c>
      <c r="H46" s="632">
        <v>312962769</v>
      </c>
      <c r="I46" s="632">
        <v>103232413</v>
      </c>
      <c r="J46" s="554">
        <f t="shared" si="1"/>
        <v>0.6105994907813872</v>
      </c>
      <c r="K46" s="888">
        <f t="shared" si="2"/>
        <v>0.32985525188780523</v>
      </c>
      <c r="L46" s="8"/>
    </row>
    <row r="47" spans="2:12" ht="66" customHeight="1">
      <c r="B47" s="182"/>
      <c r="C47" s="740">
        <v>6</v>
      </c>
      <c r="D47" s="736" t="s">
        <v>2098</v>
      </c>
      <c r="E47" s="762" t="s">
        <v>1570</v>
      </c>
      <c r="F47" s="632">
        <v>486000000</v>
      </c>
      <c r="G47" s="632">
        <v>486000000</v>
      </c>
      <c r="H47" s="632">
        <v>486000000</v>
      </c>
      <c r="I47" s="632">
        <v>41230631</v>
      </c>
      <c r="J47" s="554">
        <f t="shared" si="1"/>
        <v>1</v>
      </c>
      <c r="K47" s="888">
        <f t="shared" si="2"/>
        <v>8.4836689300411522E-2</v>
      </c>
      <c r="L47" s="8"/>
    </row>
    <row r="48" spans="2:12" ht="19.5" customHeight="1">
      <c r="B48" s="182"/>
      <c r="C48" s="881">
        <v>7</v>
      </c>
      <c r="D48" s="882" t="s">
        <v>1574</v>
      </c>
      <c r="E48" s="885" t="s">
        <v>1570</v>
      </c>
      <c r="F48" s="883"/>
      <c r="G48" s="883"/>
      <c r="H48" s="883"/>
      <c r="I48" s="883"/>
      <c r="J48" s="554" t="e">
        <f t="shared" si="1"/>
        <v>#DIV/0!</v>
      </c>
      <c r="K48" s="888" t="e">
        <f t="shared" si="2"/>
        <v>#DIV/0!</v>
      </c>
      <c r="L48" s="8"/>
    </row>
    <row r="49" spans="2:12" ht="24">
      <c r="B49" s="182"/>
      <c r="C49" s="740">
        <v>8</v>
      </c>
      <c r="D49" s="746" t="s">
        <v>2099</v>
      </c>
      <c r="E49" s="762" t="s">
        <v>1570</v>
      </c>
      <c r="F49" s="734">
        <v>243000000</v>
      </c>
      <c r="G49" s="734">
        <v>243000000</v>
      </c>
      <c r="H49" s="734">
        <v>235740000</v>
      </c>
      <c r="I49" s="734">
        <v>220621807</v>
      </c>
      <c r="J49" s="554">
        <f t="shared" si="1"/>
        <v>0.97012345679012346</v>
      </c>
      <c r="K49" s="888">
        <f t="shared" si="2"/>
        <v>0.93586920760159498</v>
      </c>
      <c r="L49" s="8"/>
    </row>
    <row r="50" spans="2:12" ht="36">
      <c r="B50" s="182"/>
      <c r="C50" s="881">
        <v>9</v>
      </c>
      <c r="D50" s="884" t="s">
        <v>1576</v>
      </c>
      <c r="E50" s="885" t="s">
        <v>1570</v>
      </c>
      <c r="F50" s="883"/>
      <c r="G50" s="883"/>
      <c r="H50" s="883"/>
      <c r="I50" s="883"/>
      <c r="J50" s="554" t="e">
        <f t="shared" si="1"/>
        <v>#DIV/0!</v>
      </c>
      <c r="K50" s="888" t="e">
        <f t="shared" si="2"/>
        <v>#DIV/0!</v>
      </c>
      <c r="L50" s="8"/>
    </row>
    <row r="51" spans="2:12" ht="62.25" customHeight="1">
      <c r="B51" s="182"/>
      <c r="C51" s="741">
        <v>10</v>
      </c>
      <c r="D51" s="747" t="s">
        <v>2100</v>
      </c>
      <c r="E51" s="762" t="s">
        <v>1570</v>
      </c>
      <c r="F51" s="734">
        <v>234000000</v>
      </c>
      <c r="G51" s="734">
        <v>234000000</v>
      </c>
      <c r="H51" s="734">
        <v>231338407</v>
      </c>
      <c r="I51" s="734">
        <v>207041327</v>
      </c>
      <c r="J51" s="554">
        <f t="shared" si="1"/>
        <v>0.98862567094017095</v>
      </c>
      <c r="K51" s="888">
        <f t="shared" si="2"/>
        <v>0.89497169832244938</v>
      </c>
      <c r="L51" s="8"/>
    </row>
    <row r="52" spans="2:12" ht="24">
      <c r="B52" s="182"/>
      <c r="C52" s="741">
        <v>11</v>
      </c>
      <c r="D52" s="747" t="s">
        <v>2101</v>
      </c>
      <c r="E52" s="762" t="s">
        <v>1570</v>
      </c>
      <c r="F52" s="734">
        <v>1822787922</v>
      </c>
      <c r="G52" s="734">
        <v>1822787922</v>
      </c>
      <c r="H52" s="734">
        <v>931848701</v>
      </c>
      <c r="I52" s="734">
        <v>18645591</v>
      </c>
      <c r="J52" s="735">
        <f t="shared" si="1"/>
        <v>0.51122167848114586</v>
      </c>
      <c r="K52" s="888">
        <f t="shared" si="2"/>
        <v>2.0009247187865103E-2</v>
      </c>
      <c r="L52" s="8"/>
    </row>
    <row r="53" spans="2:12" ht="36">
      <c r="B53" s="182"/>
      <c r="C53" s="741">
        <v>12</v>
      </c>
      <c r="D53" s="747" t="s">
        <v>2102</v>
      </c>
      <c r="E53" s="762" t="s">
        <v>1570</v>
      </c>
      <c r="F53" s="734">
        <v>8334741638</v>
      </c>
      <c r="G53" s="734">
        <v>8334741638</v>
      </c>
      <c r="H53" s="734">
        <v>8334741638</v>
      </c>
      <c r="I53" s="734">
        <v>7943655054</v>
      </c>
      <c r="J53" s="735">
        <f t="shared" si="1"/>
        <v>1</v>
      </c>
      <c r="K53" s="888">
        <f t="shared" si="2"/>
        <v>0.95307753965438513</v>
      </c>
      <c r="L53" s="8"/>
    </row>
    <row r="54" spans="2:12" ht="24.6" thickBot="1">
      <c r="B54" s="182"/>
      <c r="C54" s="742">
        <v>13</v>
      </c>
      <c r="D54" s="737" t="s">
        <v>2103</v>
      </c>
      <c r="E54" s="762" t="s">
        <v>1570</v>
      </c>
      <c r="F54" s="633">
        <v>37107595468</v>
      </c>
      <c r="G54" s="633">
        <v>37107595468</v>
      </c>
      <c r="H54" s="633">
        <v>37107595468</v>
      </c>
      <c r="I54" s="633">
        <v>37107595468</v>
      </c>
      <c r="J54" s="554">
        <f t="shared" si="1"/>
        <v>1</v>
      </c>
      <c r="K54" s="888">
        <f t="shared" si="2"/>
        <v>1</v>
      </c>
      <c r="L54" s="8"/>
    </row>
    <row r="55" spans="2:12" ht="27" customHeight="1" thickBot="1">
      <c r="B55" s="168"/>
      <c r="C55" s="78"/>
      <c r="D55" s="201"/>
      <c r="E55" s="616" t="s">
        <v>905</v>
      </c>
      <c r="F55" s="689"/>
      <c r="G55" s="684">
        <f>SUM(G42:G54)</f>
        <v>49685225028</v>
      </c>
      <c r="H55" s="684">
        <f>SUM(H42:H54)</f>
        <v>48384051060</v>
      </c>
      <c r="I55" s="684">
        <f>SUM(I42:I54)</f>
        <v>45859026709</v>
      </c>
      <c r="J55" s="510">
        <f t="shared" si="1"/>
        <v>0.97381165190926022</v>
      </c>
      <c r="K55" s="888">
        <f t="shared" si="2"/>
        <v>0.94781287850682916</v>
      </c>
      <c r="L55" s="95"/>
    </row>
    <row r="56" spans="2:12" ht="28.5" customHeight="1" thickBot="1">
      <c r="B56" s="37"/>
      <c r="C56" s="71"/>
      <c r="D56" s="2434" t="s">
        <v>1452</v>
      </c>
      <c r="E56" s="2435"/>
      <c r="F56" s="2435"/>
      <c r="G56" s="2435"/>
      <c r="H56" s="2435"/>
      <c r="I56" s="2435"/>
      <c r="J56" s="2435"/>
      <c r="K56" s="2435"/>
      <c r="L56" s="2600"/>
    </row>
    <row r="57" spans="2:12" ht="15" thickBot="1">
      <c r="B57" s="29"/>
      <c r="C57" s="66"/>
      <c r="D57" s="5"/>
      <c r="E57" s="5"/>
      <c r="F57" s="5"/>
      <c r="G57" s="5"/>
      <c r="H57" s="5"/>
      <c r="I57" s="5"/>
      <c r="J57" s="5"/>
      <c r="K57" s="5"/>
    </row>
    <row r="58" spans="2:12" ht="36.6" thickBot="1">
      <c r="B58" s="42" t="s">
        <v>803</v>
      </c>
      <c r="C58" s="76"/>
      <c r="D58" s="34" t="s">
        <v>1585</v>
      </c>
      <c r="E58" s="5"/>
      <c r="F58" s="5"/>
      <c r="G58" s="5"/>
      <c r="H58" s="5"/>
      <c r="I58" s="5"/>
      <c r="J58" s="5"/>
      <c r="K58" s="5"/>
    </row>
    <row r="59" spans="2:12" ht="36.6" thickBot="1">
      <c r="B59" s="42" t="s">
        <v>805</v>
      </c>
      <c r="C59" s="154"/>
      <c r="D59" s="42" t="s">
        <v>1117</v>
      </c>
      <c r="E59" s="5"/>
      <c r="F59" s="5"/>
      <c r="G59" s="5"/>
      <c r="H59" s="5"/>
      <c r="I59" s="5"/>
      <c r="J59" s="5"/>
      <c r="K59" s="5"/>
    </row>
    <row r="60" spans="2:12" ht="15" thickBot="1">
      <c r="B60" s="1"/>
      <c r="C60" s="63"/>
      <c r="D60" s="5"/>
      <c r="E60" s="5"/>
      <c r="F60" s="5"/>
      <c r="G60" s="5"/>
      <c r="H60" s="5"/>
      <c r="I60" s="5"/>
      <c r="J60" s="5"/>
      <c r="K60" s="5"/>
    </row>
    <row r="61" spans="2:12" ht="24" customHeight="1" thickBot="1">
      <c r="B61" s="2431" t="s">
        <v>807</v>
      </c>
      <c r="C61" s="2432"/>
      <c r="D61" s="2432"/>
      <c r="E61" s="2433"/>
      <c r="F61" s="5"/>
      <c r="G61" s="5"/>
      <c r="H61" s="5"/>
      <c r="I61" s="5"/>
      <c r="J61" s="5"/>
      <c r="K61" s="5"/>
    </row>
    <row r="62" spans="2:12" ht="15" thickBot="1">
      <c r="B62" s="2421">
        <v>1</v>
      </c>
      <c r="C62" s="72"/>
      <c r="D62" s="38" t="s">
        <v>808</v>
      </c>
      <c r="E62" s="25" t="s">
        <v>809</v>
      </c>
      <c r="F62" s="5"/>
      <c r="G62" s="5"/>
      <c r="H62" s="5"/>
      <c r="I62" s="5"/>
      <c r="J62" s="5"/>
      <c r="K62" s="5"/>
    </row>
    <row r="63" spans="2:12" ht="15" thickBot="1">
      <c r="B63" s="2422"/>
      <c r="C63" s="72"/>
      <c r="D63" s="32" t="s">
        <v>528</v>
      </c>
      <c r="E63" s="24" t="s">
        <v>941</v>
      </c>
      <c r="F63" s="5"/>
      <c r="G63" s="5"/>
      <c r="H63" s="5"/>
      <c r="I63" s="5"/>
      <c r="J63" s="5"/>
      <c r="K63" s="5"/>
    </row>
    <row r="64" spans="2:12" ht="15" thickBot="1">
      <c r="B64" s="2422"/>
      <c r="C64" s="72"/>
      <c r="D64" s="32" t="s">
        <v>811</v>
      </c>
      <c r="E64" s="24" t="s">
        <v>985</v>
      </c>
      <c r="F64" s="5"/>
      <c r="G64" s="5"/>
      <c r="H64" s="5"/>
      <c r="I64" s="5"/>
      <c r="J64" s="5"/>
      <c r="K64" s="5"/>
    </row>
    <row r="65" spans="2:11" ht="15" thickBot="1">
      <c r="B65" s="2422"/>
      <c r="C65" s="72"/>
      <c r="D65" s="32" t="s">
        <v>531</v>
      </c>
      <c r="E65" s="24" t="s">
        <v>986</v>
      </c>
      <c r="F65" s="5"/>
      <c r="G65" s="5"/>
      <c r="H65" s="5"/>
      <c r="I65" s="5"/>
      <c r="J65" s="5"/>
      <c r="K65" s="5"/>
    </row>
    <row r="66" spans="2:11" ht="15" thickBot="1">
      <c r="B66" s="2422"/>
      <c r="C66" s="72"/>
      <c r="D66" s="32" t="s">
        <v>534</v>
      </c>
      <c r="E66" s="490" t="s">
        <v>944</v>
      </c>
      <c r="F66" s="5"/>
      <c r="G66" s="5"/>
      <c r="H66" s="5"/>
      <c r="I66" s="5"/>
      <c r="J66" s="5"/>
      <c r="K66" s="5"/>
    </row>
    <row r="67" spans="2:11" ht="15" thickBot="1">
      <c r="B67" s="2422"/>
      <c r="C67" s="72"/>
      <c r="D67" s="32" t="s">
        <v>537</v>
      </c>
      <c r="E67" s="24" t="s">
        <v>945</v>
      </c>
      <c r="F67" s="5"/>
      <c r="G67" s="5"/>
      <c r="H67" s="5"/>
      <c r="I67" s="5"/>
      <c r="J67" s="5"/>
      <c r="K67" s="5"/>
    </row>
    <row r="68" spans="2:11" ht="15" thickBot="1">
      <c r="B68" s="2423"/>
      <c r="C68" s="2"/>
      <c r="D68" s="32" t="s">
        <v>815</v>
      </c>
      <c r="E68" s="24" t="s">
        <v>816</v>
      </c>
      <c r="F68" s="5"/>
      <c r="G68" s="5"/>
      <c r="H68" s="5"/>
      <c r="I68" s="5"/>
      <c r="J68" s="5"/>
      <c r="K68" s="5"/>
    </row>
    <row r="69" spans="2:11" ht="15" thickBot="1">
      <c r="B69" s="1"/>
      <c r="C69" s="63"/>
      <c r="D69" s="5"/>
      <c r="E69" s="5"/>
      <c r="F69" s="5"/>
      <c r="G69" s="5"/>
      <c r="H69" s="5"/>
      <c r="I69" s="5"/>
      <c r="J69" s="5"/>
      <c r="K69" s="5"/>
    </row>
    <row r="70" spans="2:11" ht="15" thickBot="1">
      <c r="B70" s="2431" t="s">
        <v>817</v>
      </c>
      <c r="C70" s="2432"/>
      <c r="D70" s="2432"/>
      <c r="E70" s="2433"/>
      <c r="F70" s="5"/>
      <c r="G70" s="5"/>
      <c r="H70" s="5"/>
      <c r="I70" s="5"/>
      <c r="J70" s="5"/>
      <c r="K70" s="5"/>
    </row>
    <row r="71" spans="2:11" ht="24.6" thickBot="1">
      <c r="B71" s="2421">
        <v>1</v>
      </c>
      <c r="C71" s="72"/>
      <c r="D71" s="38" t="s">
        <v>808</v>
      </c>
      <c r="E71" s="42" t="s">
        <v>818</v>
      </c>
      <c r="F71" s="5"/>
      <c r="G71" s="5"/>
      <c r="H71" s="5"/>
      <c r="I71" s="5"/>
      <c r="J71" s="5"/>
      <c r="K71" s="5"/>
    </row>
    <row r="72" spans="2:11" ht="36.6" thickBot="1">
      <c r="B72" s="2422"/>
      <c r="C72" s="72"/>
      <c r="D72" s="32" t="s">
        <v>528</v>
      </c>
      <c r="E72" s="950" t="s">
        <v>916</v>
      </c>
      <c r="F72" s="5"/>
      <c r="G72" s="5"/>
      <c r="H72" s="5"/>
      <c r="I72" s="5"/>
      <c r="J72" s="5"/>
      <c r="K72" s="5"/>
    </row>
    <row r="73" spans="2:11" ht="15" thickBot="1">
      <c r="B73" s="2422"/>
      <c r="C73" s="72"/>
      <c r="D73" s="32" t="s">
        <v>811</v>
      </c>
      <c r="E73" s="138"/>
      <c r="F73" s="5"/>
      <c r="G73" s="5"/>
      <c r="H73" s="5"/>
      <c r="I73" s="5"/>
      <c r="J73" s="5"/>
      <c r="K73" s="5"/>
    </row>
    <row r="74" spans="2:11" ht="15" thickBot="1">
      <c r="B74" s="2422"/>
      <c r="C74" s="72"/>
      <c r="D74" s="32" t="s">
        <v>531</v>
      </c>
      <c r="E74" s="138"/>
      <c r="F74" s="5"/>
      <c r="G74" s="5"/>
      <c r="H74" s="5"/>
      <c r="I74" s="5"/>
      <c r="J74" s="5"/>
      <c r="K74" s="5"/>
    </row>
    <row r="75" spans="2:11" ht="15" thickBot="1">
      <c r="B75" s="2422"/>
      <c r="C75" s="72"/>
      <c r="D75" s="32" t="s">
        <v>534</v>
      </c>
      <c r="E75" s="138"/>
      <c r="F75" s="5"/>
      <c r="G75" s="5"/>
      <c r="H75" s="5"/>
      <c r="I75" s="5"/>
      <c r="J75" s="5"/>
      <c r="K75" s="5"/>
    </row>
    <row r="76" spans="2:11" ht="15" thickBot="1">
      <c r="B76" s="2422"/>
      <c r="C76" s="72"/>
      <c r="D76" s="32" t="s">
        <v>537</v>
      </c>
      <c r="E76" s="138"/>
      <c r="F76" s="5"/>
      <c r="G76" s="5"/>
      <c r="H76" s="5"/>
      <c r="I76" s="5"/>
      <c r="J76" s="5"/>
      <c r="K76" s="5"/>
    </row>
    <row r="77" spans="2:11" ht="15" thickBot="1">
      <c r="B77" s="2423"/>
      <c r="C77" s="2"/>
      <c r="D77" s="32" t="s">
        <v>815</v>
      </c>
      <c r="E77" s="138"/>
      <c r="F77" s="5"/>
      <c r="G77" s="5"/>
      <c r="H77" s="5"/>
      <c r="I77" s="5"/>
      <c r="J77" s="5"/>
      <c r="K77" s="5"/>
    </row>
    <row r="78" spans="2:11" ht="15" thickBot="1">
      <c r="B78" s="1"/>
      <c r="C78" s="63"/>
      <c r="D78" s="5"/>
      <c r="E78" s="5"/>
      <c r="F78" s="5"/>
      <c r="G78" s="5"/>
      <c r="H78" s="5"/>
      <c r="I78" s="5"/>
      <c r="J78" s="5"/>
      <c r="K78" s="5"/>
    </row>
    <row r="79" spans="2:11" ht="15" customHeight="1" thickBot="1">
      <c r="B79" s="99" t="s">
        <v>820</v>
      </c>
      <c r="C79" s="100"/>
      <c r="D79" s="100"/>
      <c r="E79" s="101"/>
      <c r="G79" s="5"/>
      <c r="H79" s="5"/>
      <c r="I79" s="5"/>
      <c r="J79" s="5"/>
      <c r="K79" s="5"/>
    </row>
    <row r="80" spans="2:11" ht="15" thickBot="1">
      <c r="B80" s="37" t="s">
        <v>821</v>
      </c>
      <c r="C80" s="32" t="s">
        <v>822</v>
      </c>
      <c r="D80" s="32" t="s">
        <v>823</v>
      </c>
      <c r="E80" s="32" t="s">
        <v>824</v>
      </c>
      <c r="F80" s="5"/>
      <c r="G80" s="5"/>
      <c r="H80" s="5"/>
      <c r="I80" s="5"/>
      <c r="J80" s="5"/>
    </row>
    <row r="81" spans="2:11" ht="36.6" thickBot="1">
      <c r="B81" s="39">
        <v>42401</v>
      </c>
      <c r="C81" s="32">
        <v>1</v>
      </c>
      <c r="D81" s="32" t="s">
        <v>1586</v>
      </c>
      <c r="E81" s="32"/>
      <c r="F81" s="5"/>
      <c r="G81" s="5"/>
      <c r="H81" s="5"/>
      <c r="I81" s="5"/>
      <c r="J81" s="5"/>
    </row>
    <row r="82" spans="2:11" ht="15" thickBot="1">
      <c r="B82" s="3"/>
      <c r="C82" s="73"/>
      <c r="D82" s="5"/>
      <c r="E82" s="5"/>
      <c r="F82" s="5"/>
      <c r="G82" s="5"/>
      <c r="H82" s="5"/>
      <c r="I82" s="5"/>
      <c r="J82" s="5"/>
      <c r="K82" s="5"/>
    </row>
    <row r="83" spans="2:11" ht="15" thickBot="1">
      <c r="B83" s="105" t="s">
        <v>702</v>
      </c>
      <c r="C83" s="74"/>
      <c r="D83" s="5"/>
      <c r="E83" s="5"/>
      <c r="F83" s="5"/>
      <c r="G83" s="5"/>
      <c r="H83" s="5"/>
      <c r="I83" s="5"/>
      <c r="J83" s="5"/>
      <c r="K83" s="5"/>
    </row>
    <row r="84" spans="2:11" ht="15" thickBot="1">
      <c r="B84" s="2716"/>
      <c r="C84" s="2717"/>
      <c r="D84" s="2717"/>
      <c r="E84" s="2718"/>
      <c r="F84" s="5"/>
      <c r="G84" s="5"/>
      <c r="H84" s="5"/>
      <c r="I84" s="5"/>
      <c r="J84" s="5"/>
      <c r="K84" s="5"/>
    </row>
    <row r="85" spans="2:11" ht="15" thickBot="1">
      <c r="B85" s="5"/>
      <c r="D85" s="5"/>
      <c r="E85" s="5"/>
      <c r="F85" s="5"/>
      <c r="G85" s="5"/>
      <c r="H85" s="5"/>
      <c r="I85" s="5"/>
      <c r="J85" s="5"/>
      <c r="K85" s="5"/>
    </row>
    <row r="86" spans="2:11" ht="15" thickBot="1">
      <c r="B86" s="2431" t="s">
        <v>826</v>
      </c>
      <c r="C86" s="2432"/>
      <c r="D86" s="2433"/>
      <c r="E86" s="5"/>
      <c r="F86" s="5"/>
      <c r="G86" s="5"/>
      <c r="H86" s="5"/>
      <c r="I86" s="5"/>
      <c r="J86" s="5"/>
      <c r="K86" s="5"/>
    </row>
    <row r="87" spans="2:11" ht="36.6" thickBot="1">
      <c r="B87" s="37" t="s">
        <v>827</v>
      </c>
      <c r="C87" s="2"/>
      <c r="D87" s="32" t="s">
        <v>1587</v>
      </c>
      <c r="E87" s="5"/>
      <c r="F87" s="5"/>
      <c r="G87" s="5"/>
      <c r="H87" s="5"/>
      <c r="I87" s="5"/>
      <c r="J87" s="5"/>
      <c r="K87" s="5"/>
    </row>
    <row r="88" spans="2:11">
      <c r="B88" s="2458" t="s">
        <v>829</v>
      </c>
      <c r="C88" s="72"/>
      <c r="D88" s="43" t="s">
        <v>830</v>
      </c>
      <c r="E88" s="5"/>
      <c r="F88" s="5"/>
      <c r="G88" s="5"/>
      <c r="H88" s="5"/>
      <c r="I88" s="5"/>
      <c r="J88" s="5"/>
      <c r="K88" s="5"/>
    </row>
    <row r="89" spans="2:11" ht="48">
      <c r="B89" s="2459"/>
      <c r="C89" s="72"/>
      <c r="D89" s="36" t="s">
        <v>1588</v>
      </c>
      <c r="E89" s="5"/>
      <c r="F89" s="5"/>
      <c r="G89" s="5"/>
      <c r="H89" s="5"/>
      <c r="I89" s="5"/>
      <c r="J89" s="5"/>
      <c r="K89" s="5"/>
    </row>
    <row r="90" spans="2:11">
      <c r="B90" s="2459"/>
      <c r="C90" s="72"/>
      <c r="D90" s="43" t="s">
        <v>833</v>
      </c>
      <c r="E90" s="5"/>
      <c r="F90" s="5"/>
      <c r="G90" s="5"/>
      <c r="H90" s="5"/>
      <c r="I90" s="5"/>
      <c r="J90" s="5"/>
      <c r="K90" s="5"/>
    </row>
    <row r="91" spans="2:11">
      <c r="B91" s="2459"/>
      <c r="C91" s="72"/>
      <c r="D91" s="36" t="s">
        <v>834</v>
      </c>
      <c r="E91" s="5"/>
      <c r="F91" s="5"/>
      <c r="G91" s="5"/>
      <c r="H91" s="5"/>
      <c r="I91" s="5"/>
      <c r="J91" s="5"/>
      <c r="K91" s="5"/>
    </row>
    <row r="92" spans="2:11">
      <c r="B92" s="2459"/>
      <c r="C92" s="72"/>
      <c r="D92" s="36" t="s">
        <v>1589</v>
      </c>
      <c r="E92" s="5"/>
      <c r="F92" s="5"/>
      <c r="G92" s="5"/>
      <c r="H92" s="5"/>
      <c r="I92" s="5"/>
      <c r="J92" s="5"/>
      <c r="K92" s="5"/>
    </row>
    <row r="93" spans="2:11">
      <c r="B93" s="2459"/>
      <c r="C93" s="72"/>
      <c r="D93" s="36" t="s">
        <v>835</v>
      </c>
      <c r="E93" s="5"/>
      <c r="F93" s="5"/>
      <c r="G93" s="5"/>
      <c r="H93" s="5"/>
      <c r="I93" s="5"/>
      <c r="J93" s="5"/>
      <c r="K93" s="5"/>
    </row>
    <row r="94" spans="2:11">
      <c r="B94" s="2459"/>
      <c r="C94" s="72"/>
      <c r="D94" s="36" t="s">
        <v>1590</v>
      </c>
      <c r="E94" s="5"/>
      <c r="F94" s="5"/>
      <c r="G94" s="5"/>
      <c r="H94" s="5"/>
      <c r="I94" s="5"/>
      <c r="J94" s="5"/>
      <c r="K94" s="5"/>
    </row>
    <row r="95" spans="2:11">
      <c r="B95" s="2459"/>
      <c r="C95" s="72"/>
      <c r="D95" s="36" t="s">
        <v>1591</v>
      </c>
      <c r="E95" s="5"/>
      <c r="F95" s="5"/>
      <c r="G95" s="5"/>
      <c r="H95" s="5"/>
      <c r="I95" s="5"/>
      <c r="J95" s="5"/>
      <c r="K95" s="5"/>
    </row>
    <row r="96" spans="2:11">
      <c r="B96" s="2459"/>
      <c r="C96" s="72"/>
      <c r="D96" s="43" t="s">
        <v>1085</v>
      </c>
      <c r="E96" s="5"/>
      <c r="F96" s="5"/>
      <c r="G96" s="5"/>
      <c r="H96" s="5"/>
      <c r="I96" s="5"/>
      <c r="J96" s="5"/>
      <c r="K96" s="5"/>
    </row>
    <row r="97" spans="2:11">
      <c r="B97" s="2459"/>
      <c r="C97" s="72"/>
      <c r="D97" s="36" t="s">
        <v>1189</v>
      </c>
      <c r="E97" s="5"/>
      <c r="F97" s="5"/>
      <c r="G97" s="5"/>
      <c r="H97" s="5"/>
      <c r="I97" s="5"/>
      <c r="J97" s="5"/>
      <c r="K97" s="5"/>
    </row>
    <row r="98" spans="2:11">
      <c r="B98" s="2459"/>
      <c r="C98" s="72"/>
      <c r="D98" s="36" t="s">
        <v>1592</v>
      </c>
      <c r="E98" s="5"/>
      <c r="F98" s="5"/>
      <c r="G98" s="5"/>
      <c r="H98" s="5"/>
      <c r="I98" s="5"/>
      <c r="J98" s="5"/>
      <c r="K98" s="5"/>
    </row>
    <row r="99" spans="2:11">
      <c r="B99" s="2459"/>
      <c r="C99" s="72"/>
      <c r="D99" s="36" t="s">
        <v>1593</v>
      </c>
      <c r="E99" s="5"/>
      <c r="F99" s="5"/>
      <c r="G99" s="5"/>
      <c r="H99" s="5"/>
      <c r="I99" s="5"/>
      <c r="J99" s="5"/>
      <c r="K99" s="5"/>
    </row>
    <row r="100" spans="2:11">
      <c r="B100" s="2459"/>
      <c r="C100" s="72"/>
      <c r="D100" s="36" t="s">
        <v>1594</v>
      </c>
      <c r="E100" s="5"/>
      <c r="F100" s="5"/>
      <c r="G100" s="5"/>
      <c r="H100" s="5"/>
      <c r="I100" s="5"/>
      <c r="J100" s="5"/>
      <c r="K100" s="5"/>
    </row>
    <row r="101" spans="2:11">
      <c r="B101" s="2459"/>
      <c r="C101" s="72"/>
      <c r="D101" s="36" t="s">
        <v>1595</v>
      </c>
      <c r="E101" s="5"/>
      <c r="F101" s="5"/>
      <c r="G101" s="5"/>
      <c r="H101" s="5"/>
      <c r="I101" s="5"/>
      <c r="J101" s="5"/>
      <c r="K101" s="5"/>
    </row>
    <row r="102" spans="2:11">
      <c r="B102" s="2459"/>
      <c r="C102" s="72"/>
      <c r="D102" s="36" t="s">
        <v>1596</v>
      </c>
      <c r="E102" s="5"/>
      <c r="F102" s="5"/>
      <c r="G102" s="5"/>
      <c r="H102" s="5"/>
      <c r="I102" s="5"/>
      <c r="J102" s="5"/>
      <c r="K102" s="5"/>
    </row>
    <row r="103" spans="2:11">
      <c r="B103" s="2459"/>
      <c r="C103" s="72"/>
      <c r="D103" s="36" t="s">
        <v>1597</v>
      </c>
      <c r="E103" s="5"/>
      <c r="F103" s="5"/>
      <c r="G103" s="5"/>
      <c r="H103" s="5"/>
      <c r="I103" s="5"/>
      <c r="J103" s="5"/>
      <c r="K103" s="5"/>
    </row>
    <row r="104" spans="2:11" ht="15" thickBot="1">
      <c r="B104" s="2460"/>
      <c r="C104" s="2"/>
      <c r="D104" s="32" t="s">
        <v>1598</v>
      </c>
      <c r="E104" s="5"/>
      <c r="F104" s="5"/>
      <c r="G104" s="5"/>
      <c r="H104" s="5"/>
      <c r="I104" s="5"/>
      <c r="J104" s="5"/>
      <c r="K104" s="5"/>
    </row>
    <row r="105" spans="2:11" ht="24.6" thickBot="1">
      <c r="B105" s="37" t="s">
        <v>842</v>
      </c>
      <c r="C105" s="2"/>
      <c r="D105" s="32"/>
      <c r="E105" s="5"/>
      <c r="F105" s="5"/>
      <c r="G105" s="5"/>
      <c r="H105" s="5"/>
      <c r="I105" s="5"/>
      <c r="J105" s="5"/>
      <c r="K105" s="5"/>
    </row>
    <row r="106" spans="2:11" ht="132">
      <c r="B106" s="2458" t="s">
        <v>843</v>
      </c>
      <c r="C106" s="72"/>
      <c r="D106" s="36" t="s">
        <v>1599</v>
      </c>
      <c r="E106" s="5"/>
      <c r="F106" s="5"/>
      <c r="G106" s="5"/>
      <c r="H106" s="5"/>
      <c r="I106" s="5"/>
      <c r="J106" s="5"/>
      <c r="K106" s="5"/>
    </row>
    <row r="107" spans="2:11">
      <c r="B107" s="2459"/>
      <c r="C107" s="72"/>
      <c r="D107" s="36" t="s">
        <v>1600</v>
      </c>
      <c r="E107" s="5"/>
      <c r="F107" s="5"/>
      <c r="G107" s="5"/>
      <c r="H107" s="5"/>
      <c r="I107" s="5"/>
      <c r="J107" s="5"/>
      <c r="K107" s="5"/>
    </row>
    <row r="108" spans="2:11" ht="60">
      <c r="B108" s="2459"/>
      <c r="C108" s="72"/>
      <c r="D108" s="36" t="s">
        <v>1601</v>
      </c>
      <c r="E108" s="5"/>
      <c r="F108" s="5"/>
      <c r="G108" s="5"/>
      <c r="H108" s="5"/>
      <c r="I108" s="5"/>
      <c r="J108" s="5"/>
      <c r="K108" s="5"/>
    </row>
    <row r="109" spans="2:11" ht="180">
      <c r="B109" s="2459"/>
      <c r="C109" s="72"/>
      <c r="D109" s="36" t="s">
        <v>1602</v>
      </c>
      <c r="E109" s="5"/>
      <c r="F109" s="5"/>
      <c r="G109" s="5"/>
      <c r="H109" s="5"/>
      <c r="I109" s="5"/>
      <c r="J109" s="5"/>
      <c r="K109" s="5"/>
    </row>
    <row r="110" spans="2:11" ht="96">
      <c r="B110" s="2459"/>
      <c r="C110" s="72"/>
      <c r="D110" s="36" t="s">
        <v>1603</v>
      </c>
      <c r="E110" s="5"/>
      <c r="F110" s="5"/>
      <c r="G110" s="5"/>
      <c r="H110" s="5"/>
      <c r="I110" s="5"/>
      <c r="J110" s="5"/>
      <c r="K110" s="5"/>
    </row>
    <row r="111" spans="2:11" ht="36">
      <c r="B111" s="2459"/>
      <c r="C111" s="72"/>
      <c r="D111" s="36" t="s">
        <v>1604</v>
      </c>
      <c r="E111" s="5"/>
      <c r="F111" s="5"/>
      <c r="G111" s="5"/>
      <c r="H111" s="5"/>
      <c r="I111" s="5"/>
      <c r="J111" s="5"/>
      <c r="K111" s="5"/>
    </row>
    <row r="112" spans="2:11">
      <c r="B112" s="2459"/>
      <c r="C112" s="72"/>
      <c r="D112" s="36" t="s">
        <v>1605</v>
      </c>
      <c r="E112" s="5"/>
      <c r="F112" s="5"/>
      <c r="G112" s="5"/>
      <c r="H112" s="5"/>
      <c r="I112" s="5"/>
      <c r="J112" s="5"/>
      <c r="K112" s="5"/>
    </row>
    <row r="113" spans="2:11">
      <c r="B113" s="2459"/>
      <c r="C113" s="72"/>
      <c r="D113" s="36" t="s">
        <v>1606</v>
      </c>
      <c r="E113" s="5"/>
      <c r="F113" s="5"/>
      <c r="G113" s="5"/>
      <c r="H113" s="5"/>
      <c r="I113" s="5"/>
      <c r="J113" s="5"/>
      <c r="K113" s="5"/>
    </row>
    <row r="114" spans="2:11">
      <c r="B114" s="2459"/>
      <c r="C114" s="72"/>
      <c r="D114" s="36" t="s">
        <v>1607</v>
      </c>
      <c r="E114" s="5"/>
      <c r="F114" s="5"/>
      <c r="G114" s="5"/>
      <c r="H114" s="5"/>
      <c r="I114" s="5"/>
      <c r="J114" s="5"/>
      <c r="K114" s="5"/>
    </row>
    <row r="115" spans="2:11" ht="36">
      <c r="B115" s="2459"/>
      <c r="C115" s="72"/>
      <c r="D115" s="36" t="s">
        <v>1608</v>
      </c>
      <c r="E115" s="5"/>
      <c r="F115" s="5"/>
      <c r="G115" s="5"/>
      <c r="H115" s="5"/>
      <c r="I115" s="5"/>
      <c r="J115" s="5"/>
      <c r="K115" s="5"/>
    </row>
    <row r="116" spans="2:11">
      <c r="B116" s="2459"/>
      <c r="C116" s="72"/>
      <c r="D116" s="36" t="s">
        <v>1609</v>
      </c>
      <c r="E116" s="5"/>
      <c r="F116" s="5"/>
      <c r="G116" s="5"/>
      <c r="H116" s="5"/>
      <c r="I116" s="5"/>
      <c r="J116" s="5"/>
      <c r="K116" s="5"/>
    </row>
    <row r="117" spans="2:11">
      <c r="B117" s="2459"/>
      <c r="C117" s="72"/>
      <c r="D117" s="36" t="s">
        <v>1610</v>
      </c>
      <c r="E117" s="5"/>
      <c r="F117" s="5"/>
      <c r="G117" s="5"/>
      <c r="H117" s="5"/>
      <c r="I117" s="5"/>
      <c r="J117" s="5"/>
      <c r="K117" s="5"/>
    </row>
    <row r="118" spans="2:11">
      <c r="B118" s="2459"/>
      <c r="C118" s="72"/>
      <c r="D118" s="36" t="s">
        <v>1611</v>
      </c>
      <c r="E118" s="5"/>
      <c r="F118" s="5"/>
      <c r="G118" s="5"/>
      <c r="H118" s="5"/>
      <c r="I118" s="5"/>
      <c r="J118" s="5"/>
      <c r="K118" s="5"/>
    </row>
    <row r="119" spans="2:11">
      <c r="B119" s="2459"/>
      <c r="C119" s="72"/>
      <c r="D119" s="36" t="s">
        <v>1612</v>
      </c>
      <c r="E119" s="5"/>
      <c r="F119" s="5"/>
      <c r="G119" s="5"/>
      <c r="H119" s="5"/>
      <c r="I119" s="5"/>
      <c r="J119" s="5"/>
      <c r="K119" s="5"/>
    </row>
    <row r="120" spans="2:11" ht="24">
      <c r="B120" s="2459"/>
      <c r="C120" s="72"/>
      <c r="D120" s="36" t="s">
        <v>1613</v>
      </c>
      <c r="E120" s="5"/>
      <c r="F120" s="5"/>
      <c r="G120" s="5"/>
      <c r="H120" s="5"/>
      <c r="I120" s="5"/>
      <c r="J120" s="5"/>
      <c r="K120" s="5"/>
    </row>
    <row r="121" spans="2:11">
      <c r="B121" s="2459"/>
      <c r="C121" s="72"/>
      <c r="D121" s="36" t="s">
        <v>1614</v>
      </c>
      <c r="E121" s="5"/>
      <c r="F121" s="5"/>
      <c r="G121" s="5"/>
      <c r="H121" s="5"/>
      <c r="I121" s="5"/>
      <c r="J121" s="5"/>
      <c r="K121" s="5"/>
    </row>
    <row r="122" spans="2:11">
      <c r="B122" s="2459"/>
      <c r="C122" s="72"/>
      <c r="D122" s="36" t="s">
        <v>1615</v>
      </c>
      <c r="E122" s="5"/>
      <c r="F122" s="5"/>
      <c r="G122" s="5"/>
      <c r="H122" s="5"/>
      <c r="I122" s="5"/>
      <c r="J122" s="5"/>
      <c r="K122" s="5"/>
    </row>
    <row r="123" spans="2:11" ht="36">
      <c r="B123" s="2459"/>
      <c r="C123" s="72"/>
      <c r="D123" s="36" t="s">
        <v>1616</v>
      </c>
      <c r="E123" s="5"/>
      <c r="F123" s="5"/>
      <c r="G123" s="5"/>
      <c r="H123" s="5"/>
      <c r="I123" s="5"/>
      <c r="J123" s="5"/>
      <c r="K123" s="5"/>
    </row>
    <row r="124" spans="2:11" ht="24">
      <c r="B124" s="2459"/>
      <c r="C124" s="72"/>
      <c r="D124" s="36" t="s">
        <v>1617</v>
      </c>
      <c r="E124" s="5"/>
      <c r="F124" s="5"/>
      <c r="G124" s="5"/>
      <c r="H124" s="5"/>
      <c r="I124" s="5"/>
      <c r="J124" s="5"/>
      <c r="K124" s="5"/>
    </row>
    <row r="125" spans="2:11" ht="24">
      <c r="B125" s="2459"/>
      <c r="C125" s="72"/>
      <c r="D125" s="36" t="s">
        <v>1618</v>
      </c>
      <c r="E125" s="5"/>
      <c r="F125" s="5"/>
      <c r="G125" s="5"/>
      <c r="H125" s="5"/>
      <c r="I125" s="5"/>
      <c r="J125" s="5"/>
      <c r="K125" s="5"/>
    </row>
    <row r="126" spans="2:11" ht="24">
      <c r="B126" s="2459"/>
      <c r="C126" s="72"/>
      <c r="D126" s="36" t="s">
        <v>1619</v>
      </c>
      <c r="E126" s="5"/>
      <c r="F126" s="5"/>
      <c r="G126" s="5"/>
      <c r="H126" s="5"/>
      <c r="I126" s="5"/>
      <c r="J126" s="5"/>
      <c r="K126" s="5"/>
    </row>
    <row r="127" spans="2:11">
      <c r="B127" s="2459"/>
      <c r="C127" s="72"/>
      <c r="D127" s="36" t="s">
        <v>1620</v>
      </c>
      <c r="E127" s="5"/>
      <c r="F127" s="5"/>
      <c r="G127" s="5"/>
      <c r="H127" s="5"/>
      <c r="I127" s="5"/>
      <c r="J127" s="5"/>
      <c r="K127" s="5"/>
    </row>
    <row r="128" spans="2:11" ht="24">
      <c r="B128" s="2459"/>
      <c r="C128" s="72"/>
      <c r="D128" s="36" t="s">
        <v>1621</v>
      </c>
      <c r="E128" s="5"/>
      <c r="F128" s="5"/>
      <c r="G128" s="5"/>
      <c r="H128" s="5"/>
      <c r="I128" s="5"/>
      <c r="J128" s="5"/>
      <c r="K128" s="5"/>
    </row>
    <row r="129" spans="2:11">
      <c r="B129" s="2459"/>
      <c r="C129" s="72"/>
      <c r="D129" s="36" t="s">
        <v>1622</v>
      </c>
      <c r="E129" s="5"/>
      <c r="F129" s="5"/>
      <c r="G129" s="5"/>
      <c r="H129" s="5"/>
      <c r="I129" s="5"/>
      <c r="J129" s="5"/>
      <c r="K129" s="5"/>
    </row>
    <row r="130" spans="2:11" ht="24">
      <c r="B130" s="2459"/>
      <c r="C130" s="72"/>
      <c r="D130" s="36" t="s">
        <v>1623</v>
      </c>
      <c r="E130" s="5"/>
      <c r="F130" s="5"/>
      <c r="G130" s="5"/>
      <c r="H130" s="5"/>
      <c r="I130" s="5"/>
      <c r="J130" s="5"/>
      <c r="K130" s="5"/>
    </row>
    <row r="131" spans="2:11" ht="24">
      <c r="B131" s="2459"/>
      <c r="C131" s="72"/>
      <c r="D131" s="36" t="s">
        <v>1624</v>
      </c>
      <c r="E131" s="5"/>
      <c r="F131" s="5"/>
      <c r="G131" s="5"/>
      <c r="H131" s="5"/>
      <c r="I131" s="5"/>
      <c r="J131" s="5"/>
      <c r="K131" s="5"/>
    </row>
    <row r="132" spans="2:11" ht="24">
      <c r="B132" s="2459"/>
      <c r="C132" s="72"/>
      <c r="D132" s="36" t="s">
        <v>1625</v>
      </c>
      <c r="E132" s="5"/>
      <c r="F132" s="5"/>
      <c r="G132" s="5"/>
      <c r="H132" s="5"/>
      <c r="I132" s="5"/>
      <c r="J132" s="5"/>
      <c r="K132" s="5"/>
    </row>
    <row r="133" spans="2:11" ht="36">
      <c r="B133" s="2459"/>
      <c r="C133" s="72"/>
      <c r="D133" s="36" t="s">
        <v>1626</v>
      </c>
      <c r="E133" s="5"/>
      <c r="F133" s="5"/>
      <c r="G133" s="5"/>
      <c r="H133" s="5"/>
      <c r="I133" s="5"/>
      <c r="J133" s="5"/>
      <c r="K133" s="5"/>
    </row>
    <row r="134" spans="2:11" ht="24">
      <c r="B134" s="2459"/>
      <c r="C134" s="72"/>
      <c r="D134" s="36" t="s">
        <v>1627</v>
      </c>
      <c r="E134" s="5"/>
      <c r="F134" s="5"/>
      <c r="G134" s="5"/>
      <c r="H134" s="5"/>
      <c r="I134" s="5"/>
      <c r="J134" s="5"/>
      <c r="K134" s="5"/>
    </row>
    <row r="135" spans="2:11">
      <c r="B135" s="2459"/>
      <c r="C135" s="72"/>
      <c r="D135" s="36" t="s">
        <v>1628</v>
      </c>
      <c r="E135" s="5"/>
      <c r="F135" s="5"/>
      <c r="G135" s="5"/>
      <c r="H135" s="5"/>
      <c r="I135" s="5"/>
      <c r="J135" s="5"/>
      <c r="K135" s="5"/>
    </row>
    <row r="136" spans="2:11">
      <c r="B136" s="2459"/>
      <c r="C136" s="72"/>
      <c r="D136" s="36" t="s">
        <v>1629</v>
      </c>
      <c r="E136" s="5"/>
      <c r="F136" s="5"/>
      <c r="G136" s="5"/>
      <c r="H136" s="5"/>
      <c r="I136" s="5"/>
      <c r="J136" s="5"/>
      <c r="K136" s="5"/>
    </row>
    <row r="137" spans="2:11">
      <c r="B137" s="2459"/>
      <c r="C137" s="72"/>
      <c r="D137" s="36" t="s">
        <v>1630</v>
      </c>
      <c r="E137" s="5"/>
      <c r="F137" s="5"/>
      <c r="G137" s="5"/>
      <c r="H137" s="5"/>
      <c r="I137" s="5"/>
      <c r="J137" s="5"/>
      <c r="K137" s="5"/>
    </row>
    <row r="138" spans="2:11">
      <c r="B138" s="2459"/>
      <c r="C138" s="72"/>
      <c r="D138" s="36" t="s">
        <v>1631</v>
      </c>
      <c r="E138" s="5"/>
      <c r="F138" s="5"/>
      <c r="G138" s="5"/>
      <c r="H138" s="5"/>
      <c r="I138" s="5"/>
      <c r="J138" s="5"/>
      <c r="K138" s="5"/>
    </row>
    <row r="139" spans="2:11" ht="24">
      <c r="B139" s="2459"/>
      <c r="C139" s="72"/>
      <c r="D139" s="36" t="s">
        <v>1632</v>
      </c>
      <c r="E139" s="5"/>
      <c r="F139" s="5"/>
      <c r="G139" s="5"/>
      <c r="H139" s="5"/>
      <c r="I139" s="5"/>
      <c r="J139" s="5"/>
      <c r="K139" s="5"/>
    </row>
    <row r="140" spans="2:11">
      <c r="B140" s="2459"/>
      <c r="C140" s="72"/>
      <c r="D140" s="36" t="s">
        <v>1633</v>
      </c>
      <c r="E140" s="5"/>
      <c r="F140" s="5"/>
      <c r="G140" s="5"/>
      <c r="H140" s="5"/>
      <c r="I140" s="5"/>
      <c r="J140" s="5"/>
      <c r="K140" s="5"/>
    </row>
    <row r="141" spans="2:11" ht="24.6" thickBot="1">
      <c r="B141" s="2460"/>
      <c r="C141" s="2"/>
      <c r="D141" s="32" t="s">
        <v>1634</v>
      </c>
      <c r="E141" s="5"/>
      <c r="F141" s="5"/>
      <c r="G141" s="5"/>
      <c r="H141" s="5"/>
      <c r="I141" s="5"/>
      <c r="J141" s="5"/>
      <c r="K141" s="5"/>
    </row>
    <row r="142" spans="2:11">
      <c r="B142" s="2421" t="s">
        <v>860</v>
      </c>
      <c r="C142" s="72"/>
      <c r="D142" s="43" t="s">
        <v>1566</v>
      </c>
      <c r="E142" s="5"/>
      <c r="F142" s="5"/>
      <c r="G142" s="5"/>
      <c r="H142" s="5"/>
      <c r="I142" s="5"/>
      <c r="J142" s="5"/>
      <c r="K142" s="5"/>
    </row>
    <row r="143" spans="2:11" ht="25.35" customHeight="1">
      <c r="B143" s="2422"/>
      <c r="C143" s="72"/>
      <c r="D143" s="36" t="s">
        <v>1063</v>
      </c>
      <c r="E143" s="5"/>
      <c r="F143" s="5"/>
      <c r="G143" s="5"/>
      <c r="H143" s="5"/>
      <c r="I143" s="5"/>
      <c r="J143" s="5"/>
      <c r="K143" s="5"/>
    </row>
    <row r="144" spans="2:11">
      <c r="B144" s="2422"/>
      <c r="C144" s="72"/>
      <c r="D144" s="36" t="s">
        <v>861</v>
      </c>
      <c r="E144" s="5"/>
      <c r="F144" s="5"/>
      <c r="G144" s="5"/>
      <c r="H144" s="5"/>
      <c r="I144" s="5"/>
      <c r="J144" s="5"/>
      <c r="K144" s="5"/>
    </row>
    <row r="145" spans="2:11" ht="26.4">
      <c r="B145" s="2422"/>
      <c r="C145" s="72"/>
      <c r="D145" s="36" t="s">
        <v>1635</v>
      </c>
      <c r="E145" s="5"/>
      <c r="F145" s="5"/>
      <c r="G145" s="5"/>
      <c r="H145" s="5"/>
      <c r="I145" s="5"/>
      <c r="J145" s="5"/>
      <c r="K145" s="5"/>
    </row>
    <row r="146" spans="2:11" ht="26.4">
      <c r="B146" s="2422"/>
      <c r="C146" s="72"/>
      <c r="D146" s="36" t="s">
        <v>1636</v>
      </c>
      <c r="E146" s="5"/>
      <c r="F146" s="5"/>
      <c r="G146" s="5"/>
      <c r="H146" s="5"/>
      <c r="I146" s="5"/>
      <c r="J146" s="5"/>
      <c r="K146" s="5"/>
    </row>
    <row r="147" spans="2:11" ht="26.4">
      <c r="B147" s="2422"/>
      <c r="C147" s="72"/>
      <c r="D147" s="36" t="s">
        <v>1637</v>
      </c>
      <c r="E147" s="5"/>
      <c r="F147" s="5"/>
      <c r="G147" s="5"/>
      <c r="H147" s="5"/>
      <c r="I147" s="5"/>
      <c r="J147" s="5"/>
      <c r="K147" s="5"/>
    </row>
    <row r="148" spans="2:11" ht="26.4">
      <c r="B148" s="2422"/>
      <c r="C148" s="72"/>
      <c r="D148" s="36" t="s">
        <v>1638</v>
      </c>
      <c r="E148" s="5"/>
      <c r="F148" s="5"/>
      <c r="G148" s="5"/>
      <c r="H148" s="5"/>
      <c r="I148" s="5"/>
      <c r="J148" s="5"/>
      <c r="K148" s="5"/>
    </row>
    <row r="149" spans="2:11">
      <c r="B149" s="2422"/>
      <c r="C149" s="72"/>
      <c r="D149" s="36" t="s">
        <v>1639</v>
      </c>
      <c r="E149" s="5"/>
      <c r="F149" s="5"/>
      <c r="G149" s="5"/>
      <c r="H149" s="5"/>
      <c r="I149" s="5"/>
      <c r="J149" s="5"/>
      <c r="K149" s="5"/>
    </row>
    <row r="150" spans="2:11">
      <c r="B150" s="2422"/>
      <c r="C150" s="72"/>
      <c r="D150" s="36" t="s">
        <v>1640</v>
      </c>
      <c r="E150" s="5"/>
      <c r="F150" s="5"/>
      <c r="G150" s="5"/>
      <c r="H150" s="5"/>
      <c r="I150" s="5"/>
      <c r="J150" s="5"/>
      <c r="K150" s="5"/>
    </row>
    <row r="151" spans="2:11">
      <c r="B151" s="2422"/>
      <c r="C151" s="72"/>
      <c r="D151" s="36" t="s">
        <v>1641</v>
      </c>
      <c r="E151" s="5"/>
      <c r="F151" s="5"/>
      <c r="G151" s="5"/>
      <c r="H151" s="5"/>
      <c r="I151" s="5"/>
      <c r="J151" s="5"/>
      <c r="K151" s="5"/>
    </row>
    <row r="152" spans="2:11">
      <c r="B152" s="2422"/>
      <c r="C152" s="72"/>
      <c r="D152" s="36" t="s">
        <v>1642</v>
      </c>
      <c r="E152" s="5"/>
      <c r="F152" s="5"/>
      <c r="G152" s="5"/>
      <c r="H152" s="5"/>
      <c r="I152" s="5"/>
      <c r="J152" s="5"/>
      <c r="K152" s="5"/>
    </row>
    <row r="153" spans="2:11" ht="48">
      <c r="B153" s="2422"/>
      <c r="C153" s="72"/>
      <c r="D153" s="44" t="s">
        <v>1052</v>
      </c>
      <c r="E153" s="5"/>
      <c r="F153" s="5"/>
      <c r="G153" s="5"/>
      <c r="H153" s="5"/>
      <c r="I153" s="5"/>
      <c r="J153" s="5"/>
      <c r="K153" s="5"/>
    </row>
    <row r="154" spans="2:11">
      <c r="B154" s="2422"/>
      <c r="C154" s="72"/>
      <c r="D154" s="47" t="s">
        <v>1021</v>
      </c>
      <c r="E154" s="5"/>
      <c r="F154" s="5"/>
      <c r="G154" s="5"/>
      <c r="H154" s="5"/>
      <c r="I154" s="5"/>
      <c r="J154" s="5"/>
      <c r="K154" s="5"/>
    </row>
    <row r="155" spans="2:11">
      <c r="B155" s="2422"/>
      <c r="C155" s="72"/>
      <c r="D155" s="43" t="s">
        <v>1643</v>
      </c>
      <c r="E155" s="5"/>
      <c r="F155" s="5"/>
      <c r="G155" s="5"/>
      <c r="H155" s="5"/>
      <c r="I155" s="5"/>
      <c r="J155" s="5"/>
      <c r="K155" s="5"/>
    </row>
    <row r="156" spans="2:11" ht="23.1" customHeight="1">
      <c r="B156" s="2422"/>
      <c r="C156" s="72"/>
      <c r="D156" s="36" t="s">
        <v>1063</v>
      </c>
      <c r="E156" s="5"/>
      <c r="F156" s="5"/>
      <c r="G156" s="5"/>
      <c r="H156" s="5"/>
      <c r="I156" s="5"/>
      <c r="J156" s="5"/>
      <c r="K156" s="5"/>
    </row>
    <row r="157" spans="2:11">
      <c r="B157" s="2422"/>
      <c r="C157" s="72"/>
      <c r="D157" s="36" t="s">
        <v>861</v>
      </c>
      <c r="E157" s="5"/>
      <c r="F157" s="5"/>
      <c r="G157" s="5"/>
      <c r="H157" s="5"/>
      <c r="I157" s="5"/>
      <c r="J157" s="5"/>
      <c r="K157" s="5"/>
    </row>
    <row r="158" spans="2:11" ht="26.4">
      <c r="B158" s="2422"/>
      <c r="C158" s="72"/>
      <c r="D158" s="36" t="s">
        <v>1644</v>
      </c>
      <c r="E158" s="5"/>
      <c r="F158" s="5"/>
      <c r="G158" s="5"/>
      <c r="H158" s="5"/>
      <c r="I158" s="5"/>
      <c r="J158" s="5"/>
      <c r="K158" s="5"/>
    </row>
    <row r="159" spans="2:11" ht="26.4">
      <c r="B159" s="2422"/>
      <c r="C159" s="72"/>
      <c r="D159" s="36" t="s">
        <v>1645</v>
      </c>
      <c r="E159" s="5"/>
      <c r="F159" s="5"/>
      <c r="G159" s="5"/>
      <c r="H159" s="5"/>
      <c r="I159" s="5"/>
      <c r="J159" s="5"/>
      <c r="K159" s="5"/>
    </row>
    <row r="160" spans="2:11" ht="27" thickBot="1">
      <c r="B160" s="2423"/>
      <c r="C160" s="2"/>
      <c r="D160" s="32" t="s">
        <v>1646</v>
      </c>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row r="184" spans="2:11">
      <c r="B184" s="5"/>
      <c r="D184" s="5"/>
      <c r="E184" s="5"/>
      <c r="F184" s="5"/>
      <c r="G184" s="5"/>
      <c r="H184" s="5"/>
      <c r="I184" s="5"/>
      <c r="J184" s="5"/>
      <c r="K184" s="5"/>
    </row>
    <row r="185" spans="2:11">
      <c r="B185" s="5"/>
      <c r="D185" s="5"/>
      <c r="E185" s="5"/>
      <c r="F185" s="5"/>
      <c r="G185" s="5"/>
      <c r="H185" s="5"/>
      <c r="I185" s="5"/>
      <c r="J185" s="5"/>
      <c r="K185" s="5"/>
    </row>
    <row r="186" spans="2:11">
      <c r="B186" s="5"/>
      <c r="D186" s="5"/>
      <c r="E186" s="5"/>
      <c r="F186" s="5"/>
      <c r="G186" s="5"/>
      <c r="H186" s="5"/>
      <c r="I186" s="5"/>
      <c r="J186" s="5"/>
      <c r="K186" s="5"/>
    </row>
    <row r="187" spans="2:11">
      <c r="B187" s="5"/>
      <c r="D187" s="5"/>
      <c r="E187" s="5"/>
      <c r="F187" s="5"/>
      <c r="G187" s="5"/>
      <c r="H187" s="5"/>
      <c r="I187" s="5"/>
      <c r="J187" s="5"/>
      <c r="K187" s="5"/>
    </row>
    <row r="188" spans="2:11">
      <c r="B188" s="5"/>
      <c r="D188" s="5"/>
      <c r="E188" s="5"/>
      <c r="F188" s="5"/>
      <c r="G188" s="5"/>
      <c r="H188" s="5"/>
      <c r="I188" s="5"/>
      <c r="J188" s="5"/>
      <c r="K188" s="5"/>
    </row>
    <row r="189" spans="2:11">
      <c r="B189" s="5"/>
      <c r="D189" s="5"/>
      <c r="E189" s="5"/>
      <c r="F189" s="5"/>
      <c r="G189" s="5"/>
      <c r="H189" s="5"/>
      <c r="I189" s="5"/>
      <c r="J189" s="5"/>
      <c r="K189" s="5"/>
    </row>
  </sheetData>
  <sheetProtection insertColumns="0" insertRows="0"/>
  <mergeCells count="36">
    <mergeCell ref="B10:D10"/>
    <mergeCell ref="F10:S10"/>
    <mergeCell ref="F11:S11"/>
    <mergeCell ref="E12:R12"/>
    <mergeCell ref="E13:R13"/>
    <mergeCell ref="B84:E84"/>
    <mergeCell ref="B86:D86"/>
    <mergeCell ref="B88:B104"/>
    <mergeCell ref="B106:B141"/>
    <mergeCell ref="B142:B160"/>
    <mergeCell ref="D40:D41"/>
    <mergeCell ref="E40:E41"/>
    <mergeCell ref="F40:K40"/>
    <mergeCell ref="C21:C22"/>
    <mergeCell ref="D21:D22"/>
    <mergeCell ref="B15:B19"/>
    <mergeCell ref="B61:E61"/>
    <mergeCell ref="B62:B68"/>
    <mergeCell ref="B70:E70"/>
    <mergeCell ref="B71:B77"/>
    <mergeCell ref="D15:L15"/>
    <mergeCell ref="D16:L16"/>
    <mergeCell ref="D19:L19"/>
    <mergeCell ref="D20:L20"/>
    <mergeCell ref="D37:L37"/>
    <mergeCell ref="D38:L38"/>
    <mergeCell ref="D39:L39"/>
    <mergeCell ref="D56:L56"/>
    <mergeCell ref="E21:E22"/>
    <mergeCell ref="F21:J21"/>
    <mergeCell ref="C40:C41"/>
    <mergeCell ref="A1:P1"/>
    <mergeCell ref="A2:P2"/>
    <mergeCell ref="A3:P3"/>
    <mergeCell ref="A4:D4"/>
    <mergeCell ref="A5:P5"/>
  </mergeCells>
  <conditionalFormatting sqref="E12:R12">
    <cfRule type="expression" dxfId="49" priority="1">
      <formula>E11="SI SE REPORTA"</formula>
    </cfRule>
  </conditionalFormatting>
  <conditionalFormatting sqref="F10">
    <cfRule type="notContainsBlanks" dxfId="48" priority="4">
      <formula>LEN(TRIM(F10))&gt;0</formula>
    </cfRule>
  </conditionalFormatting>
  <conditionalFormatting sqref="F11:S11">
    <cfRule type="expression" dxfId="47" priority="2">
      <formula>E11="NO SE REPORTA"</formula>
    </cfRule>
    <cfRule type="expression" dxfId="46" priority="3">
      <formula>E10="NO APLICA"</formula>
    </cfRule>
  </conditionalFormatting>
  <conditionalFormatting sqref="H36:I36">
    <cfRule type="containsText" dxfId="45" priority="5" operator="containsText" text="ERROR">
      <formula>NOT(ISERROR(SEARCH("ERROR",H36)))</formula>
    </cfRule>
  </conditionalFormatting>
  <dataValidations count="6">
    <dataValidation type="whole" operator="greaterThanOrEqual" allowBlank="1" showErrorMessage="1" errorTitle="ERROR" error="Escriba un número igual o mayor que 0" promptTitle="ERROR" prompt="Escriba un número igual o mayor que 0" sqref="E18:H18" xr:uid="{00000000-0002-0000-1700-000000000000}">
      <formula1>0</formula1>
    </dataValidation>
    <dataValidation allowBlank="1" showInputMessage="1" showErrorMessage="1" sqref="G55:I55 I23:I36 H36 J42:K55" xr:uid="{00000000-0002-0000-1700-000003000000}"/>
    <dataValidation type="list" allowBlank="1" showInputMessage="1" showErrorMessage="1" sqref="E11" xr:uid="{00000000-0002-0000-1700-000004000000}">
      <formula1>REPORTE</formula1>
    </dataValidation>
    <dataValidation type="list" allowBlank="1" showInputMessage="1" showErrorMessage="1" sqref="E10" xr:uid="{00000000-0002-0000-1700-000005000000}">
      <formula1>SI</formula1>
    </dataValidation>
    <dataValidation type="whole" operator="greaterThanOrEqual" allowBlank="1" showInputMessage="1" showErrorMessage="1" errorTitle="ERROR" error="Valor en PESOS (sin centavos)" sqref="F42:I54" xr:uid="{00000000-0002-0000-1700-000001000000}">
      <formula1>0</formula1>
    </dataValidation>
    <dataValidation type="decimal" allowBlank="1" showInputMessage="1" showErrorMessage="1" errorTitle="ERROR" error="Escriba un valor entre 0% y 100%" sqref="F25:G35" xr:uid="{00000000-0002-0000-1700-000002000000}">
      <formula1>0</formula1>
      <formula2>1</formula2>
    </dataValidation>
  </dataValidations>
  <hyperlinks>
    <hyperlink ref="B9" location="'ANEXO 3'!A1" display="VOLVER AL INDICE" xr:uid="{00000000-0004-0000-1700-000000000000}"/>
    <hyperlink ref="E66" r:id="rId1" xr:uid="{00000000-0004-0000-1700-000001000000}"/>
  </hyperlinks>
  <pageMargins left="0.25" right="0.25" top="0.75" bottom="0.75" header="0.3" footer="0.3"/>
  <pageSetup paperSize="178" orientation="landscape" horizontalDpi="1200" verticalDpi="1200" r:id="rId2"/>
  <drawing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0"/>
  <dimension ref="A1:U173"/>
  <sheetViews>
    <sheetView topLeftCell="A28" workbookViewId="0">
      <selection activeCell="E12" sqref="E12:R12"/>
    </sheetView>
  </sheetViews>
  <sheetFormatPr baseColWidth="10" defaultColWidth="11.44140625" defaultRowHeight="14.4"/>
  <cols>
    <col min="1" max="1" width="1.88671875" customWidth="1"/>
    <col min="2" max="2" width="10.88671875" customWidth="1"/>
    <col min="3" max="3" width="6.44140625" style="65" customWidth="1"/>
    <col min="4" max="4" width="46.44140625" customWidth="1"/>
    <col min="5" max="5" width="21.88671875" customWidth="1"/>
    <col min="6" max="6" width="15.6640625" customWidth="1"/>
    <col min="7" max="7" width="13.109375" customWidth="1"/>
    <col min="8" max="8" width="11.33203125" customWidth="1"/>
    <col min="9" max="9" width="11.5546875" customWidth="1"/>
    <col min="10" max="10" width="13.33203125" bestFit="1" customWidth="1"/>
    <col min="11" max="11" width="13.44140625" customWidth="1"/>
    <col min="12" max="12" width="19.1093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29</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0" t="s">
        <v>739</v>
      </c>
      <c r="C8" s="539">
        <v>2025</v>
      </c>
      <c r="D8" s="164">
        <f>IF(E10="NO APLICA","NO APLICA",IF(E11="NO SE REPORTA","SIN INFORMACION",+F36))</f>
        <v>1</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105" customHeight="1">
      <c r="B12" s="290"/>
      <c r="C12" s="66"/>
      <c r="D12" s="141" t="str">
        <f>IF(E11="SI SE REPORTA","¿Qué programas o proyectos del Plan de Acción están asociados al indicador? ","")</f>
        <v xml:space="preserve">¿Qué programas o proyectos del Plan de Acción están asociados al indicador? </v>
      </c>
      <c r="E12" s="2547" t="s">
        <v>2141</v>
      </c>
      <c r="F12" s="2547"/>
      <c r="G12" s="2547"/>
      <c r="H12" s="2547"/>
      <c r="I12" s="2547"/>
      <c r="J12" s="2547"/>
      <c r="K12" s="2547"/>
      <c r="L12" s="2547"/>
      <c r="M12" s="2547"/>
      <c r="N12" s="2547"/>
      <c r="O12" s="2547"/>
      <c r="P12" s="2547"/>
      <c r="Q12" s="2547"/>
      <c r="R12" s="2547"/>
    </row>
    <row r="13" spans="1:21" ht="21.9" customHeight="1">
      <c r="B13" s="290"/>
      <c r="C13" s="66"/>
      <c r="D13" s="141" t="s">
        <v>746</v>
      </c>
      <c r="E13" s="2501"/>
      <c r="F13" s="2502"/>
      <c r="G13" s="2502"/>
      <c r="H13" s="2502"/>
      <c r="I13" s="2502"/>
      <c r="J13" s="2502"/>
      <c r="K13" s="2502"/>
      <c r="L13" s="2502"/>
      <c r="M13" s="2502"/>
      <c r="N13" s="2502"/>
      <c r="O13" s="2502"/>
      <c r="P13" s="2502"/>
      <c r="Q13" s="2502"/>
      <c r="R13" s="2503"/>
    </row>
    <row r="14" spans="1:21" ht="6.9" customHeight="1" thickBot="1">
      <c r="B14" s="290"/>
      <c r="D14" s="5"/>
      <c r="E14" s="5"/>
      <c r="F14" s="5"/>
      <c r="G14" s="5"/>
      <c r="H14" s="5"/>
      <c r="I14" s="5"/>
      <c r="J14" s="5"/>
      <c r="K14" s="5"/>
    </row>
    <row r="15" spans="1:21" ht="15.6" customHeight="1" thickTop="1" thickBot="1">
      <c r="B15" s="2670" t="s">
        <v>747</v>
      </c>
      <c r="C15" s="67"/>
      <c r="D15" s="2412" t="s">
        <v>1103</v>
      </c>
      <c r="E15" s="2413"/>
      <c r="F15" s="2413"/>
      <c r="G15" s="2413"/>
      <c r="H15" s="2413"/>
      <c r="I15" s="2413"/>
      <c r="J15" s="2413"/>
      <c r="K15" s="2413"/>
      <c r="L15" s="2615"/>
    </row>
    <row r="16" spans="1:21" ht="15" thickBot="1">
      <c r="B16" s="2671"/>
      <c r="C16" s="68" t="s">
        <v>698</v>
      </c>
      <c r="D16" s="552" t="s">
        <v>1004</v>
      </c>
      <c r="E16" s="552" t="s">
        <v>784</v>
      </c>
      <c r="F16" s="552" t="s">
        <v>1147</v>
      </c>
      <c r="G16" s="552" t="s">
        <v>594</v>
      </c>
      <c r="H16" s="552" t="s">
        <v>595</v>
      </c>
      <c r="I16" s="552" t="s">
        <v>1435</v>
      </c>
      <c r="J16" s="5"/>
      <c r="L16" s="17"/>
    </row>
    <row r="17" spans="2:12" ht="36.6" thickBot="1">
      <c r="B17" s="2671"/>
      <c r="C17" s="69" t="s">
        <v>906</v>
      </c>
      <c r="D17" s="32" t="s">
        <v>1647</v>
      </c>
      <c r="E17" s="494">
        <v>3</v>
      </c>
      <c r="F17" s="494">
        <v>3</v>
      </c>
      <c r="G17" s="494"/>
      <c r="H17" s="494"/>
      <c r="I17" s="501"/>
      <c r="J17" s="5"/>
      <c r="L17" s="17"/>
    </row>
    <row r="18" spans="2:12" ht="24.75" customHeight="1" thickBot="1">
      <c r="B18" s="2671"/>
      <c r="C18" s="69" t="s">
        <v>908</v>
      </c>
      <c r="D18" s="32" t="s">
        <v>1582</v>
      </c>
      <c r="E18" s="503">
        <v>955429000.12054801</v>
      </c>
      <c r="F18" s="511">
        <v>1053000000</v>
      </c>
      <c r="G18" s="511"/>
      <c r="H18" s="511"/>
      <c r="I18" s="532"/>
      <c r="J18" s="5"/>
      <c r="L18" s="17"/>
    </row>
    <row r="19" spans="2:12" ht="21.75" customHeight="1" thickBot="1">
      <c r="B19" s="2671"/>
      <c r="C19" s="69" t="s">
        <v>910</v>
      </c>
      <c r="D19" s="514" t="s">
        <v>1648</v>
      </c>
      <c r="E19" s="503">
        <v>955429000.12054801</v>
      </c>
      <c r="F19" s="511">
        <v>1053000000</v>
      </c>
      <c r="G19" s="511"/>
      <c r="H19" s="511"/>
      <c r="I19" s="110"/>
      <c r="J19" s="499"/>
      <c r="L19" s="17"/>
    </row>
    <row r="20" spans="2:12">
      <c r="B20" s="168"/>
      <c r="C20" s="70"/>
      <c r="D20" s="2403"/>
      <c r="E20" s="2404"/>
      <c r="F20" s="2404"/>
      <c r="G20" s="2404"/>
      <c r="H20" s="2404"/>
      <c r="I20" s="2404"/>
      <c r="J20" s="2404"/>
      <c r="K20" s="2404"/>
      <c r="L20" s="2598"/>
    </row>
    <row r="21" spans="2:12" ht="15" thickBot="1">
      <c r="B21" s="168"/>
      <c r="C21" s="70"/>
      <c r="D21" s="2434" t="s">
        <v>1649</v>
      </c>
      <c r="E21" s="2435"/>
      <c r="F21" s="2435"/>
      <c r="G21" s="2435"/>
      <c r="H21" s="2435"/>
      <c r="I21" s="2435"/>
      <c r="J21" s="2435"/>
      <c r="K21" s="2435"/>
      <c r="L21" s="2600"/>
    </row>
    <row r="22" spans="2:12" ht="15" customHeight="1" thickBot="1">
      <c r="B22" s="168"/>
      <c r="C22" s="2549" t="s">
        <v>698</v>
      </c>
      <c r="D22" s="2559" t="s">
        <v>1023</v>
      </c>
      <c r="E22" s="2559" t="s">
        <v>1438</v>
      </c>
      <c r="F22" s="2720" t="s">
        <v>1439</v>
      </c>
      <c r="G22" s="2721"/>
      <c r="H22" s="2720" t="s">
        <v>1516</v>
      </c>
      <c r="I22" s="2722"/>
      <c r="J22" s="2722"/>
      <c r="K22" s="2721"/>
      <c r="L22" s="94"/>
    </row>
    <row r="23" spans="2:12" ht="21" thickBot="1">
      <c r="B23" s="168"/>
      <c r="C23" s="2550"/>
      <c r="D23" s="2560"/>
      <c r="E23" s="2560"/>
      <c r="F23" s="716" t="s">
        <v>1440</v>
      </c>
      <c r="G23" s="731" t="s">
        <v>1441</v>
      </c>
      <c r="H23" s="716" t="s">
        <v>1582</v>
      </c>
      <c r="I23" s="716" t="s">
        <v>1114</v>
      </c>
      <c r="J23" s="716" t="s">
        <v>1027</v>
      </c>
      <c r="K23" s="716" t="s">
        <v>1028</v>
      </c>
      <c r="L23" s="8"/>
    </row>
    <row r="24" spans="2:12" ht="105" customHeight="1" thickBot="1">
      <c r="B24" s="168"/>
      <c r="C24" s="513">
        <v>1</v>
      </c>
      <c r="D24" s="491" t="s">
        <v>1650</v>
      </c>
      <c r="E24" s="512" t="s">
        <v>1651</v>
      </c>
      <c r="F24" s="433">
        <v>0.51</v>
      </c>
      <c r="G24" s="448">
        <v>1</v>
      </c>
      <c r="H24" s="889">
        <f>1053000000/3</f>
        <v>351000000</v>
      </c>
      <c r="I24" s="889">
        <f t="shared" ref="I24:J26" si="0">1053000000/3</f>
        <v>351000000</v>
      </c>
      <c r="J24" s="889">
        <f t="shared" si="0"/>
        <v>351000000</v>
      </c>
      <c r="K24" s="889">
        <f>1015661136/3</f>
        <v>338553712</v>
      </c>
      <c r="L24" s="8"/>
    </row>
    <row r="25" spans="2:12" ht="99.75" customHeight="1" thickBot="1">
      <c r="B25" s="168"/>
      <c r="C25" s="513">
        <v>2</v>
      </c>
      <c r="D25" s="491" t="s">
        <v>1652</v>
      </c>
      <c r="E25" s="512" t="s">
        <v>1651</v>
      </c>
      <c r="F25" s="433">
        <v>0.33</v>
      </c>
      <c r="G25" s="448">
        <v>1</v>
      </c>
      <c r="H25" s="889">
        <f t="shared" ref="H25:H26" si="1">1053000000/3</f>
        <v>351000000</v>
      </c>
      <c r="I25" s="889">
        <f t="shared" si="0"/>
        <v>351000000</v>
      </c>
      <c r="J25" s="889">
        <f t="shared" si="0"/>
        <v>351000000</v>
      </c>
      <c r="K25" s="889">
        <f t="shared" ref="K25:K26" si="2">1015661136/3</f>
        <v>338553712</v>
      </c>
      <c r="L25" s="8"/>
    </row>
    <row r="26" spans="2:12" ht="76.5" customHeight="1" thickBot="1">
      <c r="B26" s="168"/>
      <c r="C26" s="513">
        <v>3</v>
      </c>
      <c r="D26" s="491" t="s">
        <v>1653</v>
      </c>
      <c r="E26" s="512" t="s">
        <v>1651</v>
      </c>
      <c r="F26" s="433">
        <v>0.5</v>
      </c>
      <c r="G26" s="448">
        <v>1</v>
      </c>
      <c r="H26" s="889">
        <f t="shared" si="1"/>
        <v>351000000</v>
      </c>
      <c r="I26" s="889">
        <f t="shared" si="0"/>
        <v>351000000</v>
      </c>
      <c r="J26" s="889">
        <f t="shared" si="0"/>
        <v>351000000</v>
      </c>
      <c r="K26" s="889">
        <f t="shared" si="2"/>
        <v>338553712</v>
      </c>
      <c r="L26" s="8"/>
    </row>
    <row r="27" spans="2:12" ht="15" thickBot="1">
      <c r="B27" s="168"/>
      <c r="C27" s="63"/>
      <c r="D27" s="35" t="s">
        <v>905</v>
      </c>
      <c r="E27" s="103"/>
      <c r="F27" s="104"/>
      <c r="G27" s="30"/>
      <c r="H27" s="111">
        <f>SUM(H24:H26)</f>
        <v>1053000000</v>
      </c>
      <c r="I27" s="111">
        <f>SUM(I24:I26)</f>
        <v>1053000000</v>
      </c>
      <c r="J27" s="111">
        <f>SUM(J24:J26)</f>
        <v>1053000000</v>
      </c>
      <c r="K27" s="111">
        <f>SUM(K24:K26)</f>
        <v>1015661136</v>
      </c>
      <c r="L27" s="9"/>
    </row>
    <row r="28" spans="2:12">
      <c r="B28" s="168"/>
      <c r="C28" s="70"/>
      <c r="D28" s="2403" t="s">
        <v>1654</v>
      </c>
      <c r="E28" s="2404"/>
      <c r="F28" s="2404"/>
      <c r="G28" s="2404"/>
      <c r="H28" s="2404"/>
      <c r="I28" s="2404"/>
      <c r="J28" s="2404"/>
      <c r="K28" s="2404"/>
      <c r="L28" s="2598"/>
    </row>
    <row r="29" spans="2:12" ht="24" customHeight="1" thickBot="1">
      <c r="B29" s="168"/>
      <c r="C29" s="70"/>
      <c r="D29" s="2403" t="s">
        <v>1655</v>
      </c>
      <c r="E29" s="2404"/>
      <c r="F29" s="2404"/>
      <c r="G29" s="2404"/>
      <c r="H29" s="2404"/>
      <c r="I29" s="2404"/>
      <c r="J29" s="2404"/>
      <c r="K29" s="2404"/>
      <c r="L29" s="2598"/>
    </row>
    <row r="30" spans="2:12" ht="15" thickBot="1">
      <c r="B30" s="168"/>
      <c r="C30" s="2729" t="s">
        <v>698</v>
      </c>
      <c r="D30" s="2732" t="s">
        <v>1526</v>
      </c>
      <c r="E30" s="56" t="s">
        <v>1656</v>
      </c>
      <c r="F30" s="2703" t="s">
        <v>1527</v>
      </c>
      <c r="G30" s="2704"/>
      <c r="H30" s="2723" t="s">
        <v>702</v>
      </c>
      <c r="I30" s="5"/>
      <c r="J30" s="5"/>
      <c r="L30" s="17"/>
    </row>
    <row r="31" spans="2:12">
      <c r="B31" s="168"/>
      <c r="C31" s="2730"/>
      <c r="D31" s="2733"/>
      <c r="E31" s="2421" t="s">
        <v>1657</v>
      </c>
      <c r="F31" s="2421" t="s">
        <v>1528</v>
      </c>
      <c r="G31" s="36" t="s">
        <v>1529</v>
      </c>
      <c r="H31" s="2724"/>
      <c r="I31" s="5"/>
      <c r="J31" s="5"/>
      <c r="L31" s="17"/>
    </row>
    <row r="32" spans="2:12" ht="15" thickBot="1">
      <c r="B32" s="168"/>
      <c r="C32" s="2731"/>
      <c r="D32" s="2734"/>
      <c r="E32" s="2423"/>
      <c r="F32" s="2423"/>
      <c r="G32" s="32" t="s">
        <v>1517</v>
      </c>
      <c r="H32" s="2725"/>
      <c r="I32" s="5"/>
      <c r="J32" s="5"/>
      <c r="L32" s="17"/>
    </row>
    <row r="33" spans="2:12" ht="15" thickBot="1">
      <c r="B33" s="168"/>
      <c r="C33" s="257">
        <v>1</v>
      </c>
      <c r="D33" s="275">
        <v>0.34</v>
      </c>
      <c r="E33" s="128">
        <f>+G24</f>
        <v>1</v>
      </c>
      <c r="F33" s="626">
        <f t="shared" ref="F33:G35" si="3">IFERROR(J24/I24,0)</f>
        <v>1</v>
      </c>
      <c r="G33" s="626">
        <f t="shared" si="3"/>
        <v>0.96454049002849007</v>
      </c>
      <c r="H33" s="25"/>
      <c r="I33" s="5"/>
      <c r="J33" s="5"/>
      <c r="L33" s="17"/>
    </row>
    <row r="34" spans="2:12" ht="15" thickBot="1">
      <c r="B34" s="168"/>
      <c r="C34" s="257">
        <v>2</v>
      </c>
      <c r="D34" s="275">
        <v>0.33</v>
      </c>
      <c r="E34" s="128">
        <f>+G25</f>
        <v>1</v>
      </c>
      <c r="F34" s="626">
        <f t="shared" si="3"/>
        <v>1</v>
      </c>
      <c r="G34" s="626">
        <f t="shared" si="3"/>
        <v>0.96454049002849007</v>
      </c>
      <c r="H34" s="25"/>
      <c r="I34" s="5"/>
      <c r="J34" s="5"/>
      <c r="L34" s="17"/>
    </row>
    <row r="35" spans="2:12" ht="15" thickBot="1">
      <c r="B35" s="168"/>
      <c r="C35" s="257">
        <v>3</v>
      </c>
      <c r="D35" s="275">
        <v>0.33</v>
      </c>
      <c r="E35" s="128">
        <f>+G26</f>
        <v>1</v>
      </c>
      <c r="F35" s="626">
        <f t="shared" si="3"/>
        <v>1</v>
      </c>
      <c r="G35" s="626">
        <f t="shared" si="3"/>
        <v>0.96454049002849007</v>
      </c>
      <c r="H35" s="25"/>
      <c r="I35" s="5"/>
      <c r="J35" s="5"/>
      <c r="L35" s="17"/>
    </row>
    <row r="36" spans="2:12" ht="15" thickBot="1">
      <c r="B36" s="37"/>
      <c r="C36" s="84"/>
      <c r="D36" s="129">
        <f>Formulas!$D$24</f>
        <v>1</v>
      </c>
      <c r="E36" s="155">
        <f>+D33*E33+D34*E34+D35*E35</f>
        <v>1</v>
      </c>
      <c r="F36" s="155">
        <f>+D33*F33+D34*F34+D35*F35</f>
        <v>1</v>
      </c>
      <c r="G36" s="707">
        <f>Formulas!F24</f>
        <v>0.96454049002849007</v>
      </c>
      <c r="H36" s="25"/>
      <c r="I36" s="18"/>
      <c r="J36" s="18"/>
      <c r="K36" s="18"/>
      <c r="L36" s="19"/>
    </row>
    <row r="37" spans="2:12" ht="15" thickBot="1">
      <c r="B37" s="29"/>
      <c r="C37" s="66"/>
      <c r="D37" s="5"/>
      <c r="E37" s="5"/>
      <c r="F37" s="5"/>
      <c r="G37" s="5"/>
      <c r="H37" s="5"/>
      <c r="I37" s="5"/>
      <c r="J37" s="5"/>
      <c r="K37" s="5"/>
    </row>
    <row r="38" spans="2:12" ht="72.599999999999994" thickBot="1">
      <c r="B38" s="42" t="s">
        <v>803</v>
      </c>
      <c r="C38" s="76"/>
      <c r="D38" s="34" t="s">
        <v>1658</v>
      </c>
      <c r="E38" s="5"/>
      <c r="F38" s="5"/>
      <c r="G38" s="5"/>
      <c r="H38" s="5"/>
      <c r="I38" s="5"/>
      <c r="J38" s="5"/>
      <c r="K38" s="5"/>
    </row>
    <row r="39" spans="2:12" ht="48.6" customHeight="1" thickBot="1">
      <c r="B39" s="37" t="s">
        <v>805</v>
      </c>
      <c r="C39" s="2"/>
      <c r="D39" s="32" t="s">
        <v>1117</v>
      </c>
      <c r="E39" s="5"/>
      <c r="F39" s="5"/>
      <c r="G39" s="5"/>
      <c r="H39" s="5"/>
      <c r="I39" s="5"/>
      <c r="J39" s="5"/>
      <c r="K39" s="5"/>
    </row>
    <row r="40" spans="2:12" ht="15" thickBot="1">
      <c r="B40" s="1"/>
      <c r="C40" s="63"/>
      <c r="D40" s="5"/>
      <c r="E40" s="5"/>
      <c r="F40" s="5"/>
      <c r="G40" s="5"/>
      <c r="H40" s="5"/>
      <c r="I40" s="5"/>
      <c r="J40" s="5"/>
      <c r="K40" s="5"/>
    </row>
    <row r="41" spans="2:12" ht="24" customHeight="1" thickBot="1">
      <c r="B41" s="2431" t="s">
        <v>807</v>
      </c>
      <c r="C41" s="2432"/>
      <c r="D41" s="2432"/>
      <c r="E41" s="2433"/>
      <c r="F41" s="5"/>
      <c r="G41" s="5"/>
      <c r="H41" s="5"/>
      <c r="I41" s="5"/>
      <c r="J41" s="5"/>
      <c r="K41" s="5"/>
    </row>
    <row r="42" spans="2:12" ht="15" thickBot="1">
      <c r="B42" s="2421">
        <v>1</v>
      </c>
      <c r="C42" s="72"/>
      <c r="D42" s="38" t="s">
        <v>808</v>
      </c>
      <c r="E42" s="131" t="s">
        <v>809</v>
      </c>
      <c r="F42" s="5"/>
      <c r="G42" s="5"/>
      <c r="H42" s="5"/>
      <c r="I42" s="5"/>
      <c r="J42" s="5"/>
      <c r="K42" s="5"/>
    </row>
    <row r="43" spans="2:12" ht="24.6" thickBot="1">
      <c r="B43" s="2422"/>
      <c r="C43" s="72"/>
      <c r="D43" s="32" t="s">
        <v>528</v>
      </c>
      <c r="E43" s="273" t="s">
        <v>941</v>
      </c>
      <c r="F43" s="5"/>
      <c r="G43" s="5"/>
      <c r="H43" s="5"/>
      <c r="I43" s="5"/>
      <c r="J43" s="5"/>
      <c r="K43" s="5"/>
    </row>
    <row r="44" spans="2:12" ht="15" thickBot="1">
      <c r="B44" s="2422"/>
      <c r="C44" s="72"/>
      <c r="D44" s="32" t="s">
        <v>811</v>
      </c>
      <c r="E44" s="131" t="s">
        <v>985</v>
      </c>
      <c r="F44" s="5"/>
      <c r="G44" s="5"/>
      <c r="H44" s="5"/>
      <c r="I44" s="5"/>
      <c r="J44" s="5"/>
      <c r="K44" s="5"/>
    </row>
    <row r="45" spans="2:12" ht="15" thickBot="1">
      <c r="B45" s="2422"/>
      <c r="C45" s="72"/>
      <c r="D45" s="32" t="s">
        <v>531</v>
      </c>
      <c r="E45" s="131" t="s">
        <v>986</v>
      </c>
      <c r="F45" s="5"/>
      <c r="G45" s="5"/>
      <c r="H45" s="5"/>
      <c r="I45" s="5"/>
      <c r="J45" s="5"/>
      <c r="K45" s="5"/>
    </row>
    <row r="46" spans="2:12" ht="29.4" thickBot="1">
      <c r="B46" s="2422"/>
      <c r="C46" s="72"/>
      <c r="D46" s="32" t="s">
        <v>534</v>
      </c>
      <c r="E46" s="435" t="s">
        <v>944</v>
      </c>
      <c r="F46" s="5"/>
      <c r="G46" s="5"/>
      <c r="H46" s="5"/>
      <c r="I46" s="5"/>
      <c r="J46" s="5"/>
      <c r="K46" s="5"/>
    </row>
    <row r="47" spans="2:12" ht="15" thickBot="1">
      <c r="B47" s="2422"/>
      <c r="C47" s="72"/>
      <c r="D47" s="32" t="s">
        <v>537</v>
      </c>
      <c r="E47" s="515" t="s">
        <v>945</v>
      </c>
      <c r="F47" s="5"/>
      <c r="G47" s="5"/>
      <c r="H47" s="5"/>
      <c r="I47" s="5"/>
      <c r="J47" s="5"/>
      <c r="K47" s="5"/>
    </row>
    <row r="48" spans="2:12" ht="15" thickBot="1">
      <c r="B48" s="2423"/>
      <c r="C48" s="2"/>
      <c r="D48" s="32" t="s">
        <v>815</v>
      </c>
      <c r="E48" s="273" t="s">
        <v>816</v>
      </c>
      <c r="F48" s="5"/>
      <c r="G48" s="5"/>
      <c r="H48" s="5"/>
      <c r="I48" s="5"/>
      <c r="J48" s="5"/>
      <c r="K48" s="5"/>
    </row>
    <row r="49" spans="2:11" ht="15" thickBot="1">
      <c r="B49" s="1"/>
      <c r="C49" s="63"/>
      <c r="D49" s="5"/>
      <c r="E49" s="5"/>
      <c r="F49" s="5"/>
      <c r="G49" s="5"/>
      <c r="H49" s="5"/>
      <c r="I49" s="5"/>
      <c r="J49" s="5"/>
      <c r="K49" s="5"/>
    </row>
    <row r="50" spans="2:11" ht="15" thickBot="1">
      <c r="B50" s="2431" t="s">
        <v>817</v>
      </c>
      <c r="C50" s="2432"/>
      <c r="D50" s="2432"/>
      <c r="E50" s="2433"/>
      <c r="F50" s="5"/>
      <c r="G50" s="5"/>
      <c r="H50" s="5"/>
      <c r="I50" s="5"/>
      <c r="J50" s="5"/>
      <c r="K50" s="5"/>
    </row>
    <row r="51" spans="2:11" ht="24.6" thickBot="1">
      <c r="B51" s="2421">
        <v>1</v>
      </c>
      <c r="C51" s="72"/>
      <c r="D51" s="38" t="s">
        <v>808</v>
      </c>
      <c r="E51" s="28" t="s">
        <v>818</v>
      </c>
      <c r="F51" s="5"/>
      <c r="G51" s="5"/>
      <c r="H51" s="5"/>
      <c r="I51" s="5"/>
      <c r="J51" s="5"/>
      <c r="K51" s="5"/>
    </row>
    <row r="52" spans="2:11" ht="36.6" thickBot="1">
      <c r="B52" s="2422"/>
      <c r="C52" s="72"/>
      <c r="D52" s="32" t="s">
        <v>528</v>
      </c>
      <c r="E52" s="28" t="s">
        <v>916</v>
      </c>
      <c r="F52" s="5"/>
      <c r="G52" s="5"/>
      <c r="H52" s="5"/>
      <c r="I52" s="5"/>
      <c r="J52" s="5"/>
      <c r="K52" s="5"/>
    </row>
    <row r="53" spans="2:11" ht="15" thickBot="1">
      <c r="B53" s="2422"/>
      <c r="C53" s="72"/>
      <c r="D53" s="32" t="s">
        <v>811</v>
      </c>
      <c r="E53" s="136"/>
      <c r="F53" s="5"/>
      <c r="G53" s="5"/>
      <c r="H53" s="5"/>
      <c r="I53" s="5"/>
      <c r="J53" s="5"/>
      <c r="K53" s="5"/>
    </row>
    <row r="54" spans="2:11" ht="15" thickBot="1">
      <c r="B54" s="2422"/>
      <c r="C54" s="72"/>
      <c r="D54" s="32" t="s">
        <v>531</v>
      </c>
      <c r="E54" s="136"/>
      <c r="F54" s="5"/>
      <c r="G54" s="5"/>
      <c r="H54" s="5"/>
      <c r="I54" s="5"/>
      <c r="J54" s="5"/>
      <c r="K54" s="5"/>
    </row>
    <row r="55" spans="2:11" ht="15" thickBot="1">
      <c r="B55" s="2422"/>
      <c r="C55" s="72"/>
      <c r="D55" s="32" t="s">
        <v>534</v>
      </c>
      <c r="E55" s="136"/>
      <c r="F55" s="5"/>
      <c r="G55" s="5"/>
      <c r="H55" s="5"/>
      <c r="I55" s="5"/>
      <c r="J55" s="5"/>
      <c r="K55" s="5"/>
    </row>
    <row r="56" spans="2:11" ht="15" thickBot="1">
      <c r="B56" s="2422"/>
      <c r="C56" s="72"/>
      <c r="D56" s="32" t="s">
        <v>537</v>
      </c>
      <c r="E56" s="136"/>
      <c r="F56" s="5"/>
      <c r="G56" s="5"/>
      <c r="H56" s="5"/>
      <c r="I56" s="5"/>
      <c r="J56" s="5"/>
      <c r="K56" s="5"/>
    </row>
    <row r="57" spans="2:11" ht="15" thickBot="1">
      <c r="B57" s="2423"/>
      <c r="C57" s="2"/>
      <c r="D57" s="32" t="s">
        <v>815</v>
      </c>
      <c r="E57" s="136"/>
      <c r="F57" s="5"/>
      <c r="G57" s="5"/>
      <c r="H57" s="5"/>
      <c r="I57" s="5"/>
      <c r="J57" s="5"/>
      <c r="K57" s="5"/>
    </row>
    <row r="58" spans="2:11" ht="15" thickBot="1">
      <c r="B58" s="1"/>
      <c r="C58" s="63"/>
      <c r="D58" s="5"/>
      <c r="E58" s="5"/>
      <c r="F58" s="5"/>
      <c r="G58" s="5"/>
      <c r="H58" s="5"/>
      <c r="I58" s="5"/>
      <c r="J58" s="5"/>
      <c r="K58" s="5"/>
    </row>
    <row r="59" spans="2:11" ht="15" customHeight="1" thickBot="1">
      <c r="B59" s="99" t="s">
        <v>820</v>
      </c>
      <c r="C59" s="100"/>
      <c r="D59" s="100"/>
      <c r="E59" s="101"/>
      <c r="G59" s="5"/>
      <c r="H59" s="5"/>
      <c r="I59" s="5"/>
      <c r="J59" s="5"/>
      <c r="K59" s="5"/>
    </row>
    <row r="60" spans="2:11" ht="15" thickBot="1">
      <c r="B60" s="37" t="s">
        <v>821</v>
      </c>
      <c r="C60" s="32" t="s">
        <v>822</v>
      </c>
      <c r="D60" s="32" t="s">
        <v>823</v>
      </c>
      <c r="E60" s="32" t="s">
        <v>824</v>
      </c>
      <c r="F60" s="5"/>
      <c r="G60" s="5"/>
      <c r="H60" s="5"/>
      <c r="I60" s="5"/>
      <c r="J60" s="5"/>
    </row>
    <row r="61" spans="2:11" ht="48.6" thickBot="1">
      <c r="B61" s="39">
        <v>42401</v>
      </c>
      <c r="C61" s="32">
        <v>0.01</v>
      </c>
      <c r="D61" s="40" t="s">
        <v>1659</v>
      </c>
      <c r="E61" s="32"/>
      <c r="F61" s="5"/>
      <c r="G61" s="5"/>
      <c r="H61" s="5"/>
      <c r="I61" s="5"/>
      <c r="J61" s="5"/>
    </row>
    <row r="62" spans="2:11" ht="15" thickBot="1">
      <c r="B62" s="3"/>
      <c r="C62" s="73"/>
      <c r="D62" s="5"/>
      <c r="E62" s="5"/>
      <c r="F62" s="5"/>
      <c r="G62" s="5"/>
      <c r="H62" s="5"/>
      <c r="I62" s="5"/>
      <c r="J62" s="5"/>
      <c r="K62" s="5"/>
    </row>
    <row r="63" spans="2:11" ht="15" thickBot="1">
      <c r="B63" s="276" t="s">
        <v>702</v>
      </c>
      <c r="C63" s="74"/>
      <c r="D63" s="5"/>
      <c r="E63" s="5"/>
      <c r="F63" s="5"/>
      <c r="G63" s="5"/>
      <c r="H63" s="5"/>
      <c r="I63" s="5"/>
      <c r="J63" s="5"/>
      <c r="K63" s="5"/>
    </row>
    <row r="64" spans="2:11" ht="15" thickBot="1">
      <c r="B64" s="2726"/>
      <c r="C64" s="2727"/>
      <c r="D64" s="2727"/>
      <c r="E64" s="2728"/>
      <c r="F64" s="5"/>
      <c r="G64" s="5"/>
      <c r="H64" s="5"/>
      <c r="I64" s="5"/>
      <c r="J64" s="5"/>
      <c r="K64" s="5"/>
    </row>
    <row r="65" spans="2:11" ht="7.5" customHeight="1">
      <c r="B65" s="1"/>
      <c r="C65" s="63"/>
      <c r="D65" s="5"/>
      <c r="E65" s="5"/>
      <c r="F65" s="5"/>
      <c r="G65" s="5"/>
      <c r="H65" s="5"/>
      <c r="I65" s="5"/>
      <c r="J65" s="5"/>
      <c r="K65" s="5"/>
    </row>
    <row r="66" spans="2:11" ht="8.25" customHeight="1" thickBot="1">
      <c r="B66" s="5"/>
      <c r="D66" s="5"/>
      <c r="E66" s="5"/>
      <c r="F66" s="5"/>
      <c r="G66" s="5"/>
      <c r="H66" s="5"/>
      <c r="I66" s="5"/>
      <c r="J66" s="5"/>
      <c r="K66" s="5"/>
    </row>
    <row r="67" spans="2:11" ht="24.6" thickBot="1">
      <c r="B67" s="41" t="s">
        <v>826</v>
      </c>
      <c r="C67" s="75"/>
      <c r="D67" s="5"/>
      <c r="E67" s="5"/>
      <c r="F67" s="5"/>
      <c r="G67" s="5"/>
      <c r="H67" s="5"/>
      <c r="I67" s="5"/>
      <c r="J67" s="5"/>
      <c r="K67" s="5"/>
    </row>
    <row r="68" spans="2:11" ht="7.5" customHeight="1" thickBot="1">
      <c r="B68" s="29"/>
      <c r="C68" s="66"/>
      <c r="D68" s="5"/>
      <c r="E68" s="5"/>
      <c r="F68" s="5"/>
      <c r="G68" s="5"/>
      <c r="H68" s="5"/>
      <c r="I68" s="5"/>
      <c r="J68" s="5"/>
      <c r="K68" s="5"/>
    </row>
    <row r="69" spans="2:11" ht="36.6" thickBot="1">
      <c r="B69" s="42" t="s">
        <v>827</v>
      </c>
      <c r="C69" s="76"/>
      <c r="D69" s="34" t="s">
        <v>1660</v>
      </c>
      <c r="E69" s="5"/>
      <c r="F69" s="5"/>
      <c r="G69" s="5"/>
      <c r="H69" s="5"/>
      <c r="I69" s="5"/>
      <c r="J69" s="5"/>
      <c r="K69" s="5"/>
    </row>
    <row r="70" spans="2:11">
      <c r="B70" s="2421" t="s">
        <v>829</v>
      </c>
      <c r="C70" s="72"/>
      <c r="D70" s="43" t="s">
        <v>830</v>
      </c>
      <c r="E70" s="5"/>
      <c r="F70" s="5"/>
      <c r="G70" s="5"/>
      <c r="H70" s="5"/>
      <c r="I70" s="5"/>
      <c r="J70" s="5"/>
      <c r="K70" s="5"/>
    </row>
    <row r="71" spans="2:11" ht="72">
      <c r="B71" s="2422"/>
      <c r="C71" s="72"/>
      <c r="D71" s="36" t="s">
        <v>1661</v>
      </c>
      <c r="E71" s="5"/>
      <c r="F71" s="5"/>
      <c r="G71" s="5"/>
      <c r="H71" s="5"/>
      <c r="I71" s="5"/>
      <c r="J71" s="5"/>
      <c r="K71" s="5"/>
    </row>
    <row r="72" spans="2:11">
      <c r="B72" s="2422"/>
      <c r="C72" s="72"/>
      <c r="D72" s="36" t="s">
        <v>1662</v>
      </c>
      <c r="E72" s="5"/>
      <c r="F72" s="5"/>
      <c r="G72" s="5"/>
      <c r="H72" s="5"/>
      <c r="I72" s="5"/>
      <c r="J72" s="5"/>
      <c r="K72" s="5"/>
    </row>
    <row r="73" spans="2:11">
      <c r="B73" s="2422"/>
      <c r="C73" s="72"/>
      <c r="D73" s="36" t="s">
        <v>1663</v>
      </c>
      <c r="E73" s="5"/>
      <c r="F73" s="5"/>
      <c r="G73" s="5"/>
      <c r="H73" s="5"/>
      <c r="I73" s="5"/>
      <c r="J73" s="5"/>
      <c r="K73" s="5"/>
    </row>
    <row r="74" spans="2:11">
      <c r="B74" s="2422"/>
      <c r="C74" s="72"/>
      <c r="D74" s="36" t="s">
        <v>1664</v>
      </c>
      <c r="E74" s="5"/>
      <c r="F74" s="5"/>
      <c r="G74" s="5"/>
      <c r="H74" s="5"/>
      <c r="I74" s="5"/>
      <c r="J74" s="5"/>
      <c r="K74" s="5"/>
    </row>
    <row r="75" spans="2:11">
      <c r="B75" s="2422"/>
      <c r="C75" s="72"/>
      <c r="D75" s="43" t="s">
        <v>1085</v>
      </c>
      <c r="E75" s="5"/>
      <c r="F75" s="5"/>
      <c r="G75" s="5"/>
      <c r="H75" s="5"/>
      <c r="I75" s="5"/>
      <c r="J75" s="5"/>
      <c r="K75" s="5"/>
    </row>
    <row r="76" spans="2:11">
      <c r="B76" s="2422"/>
      <c r="C76" s="72"/>
      <c r="D76" s="36" t="s">
        <v>1665</v>
      </c>
      <c r="E76" s="5"/>
      <c r="F76" s="5"/>
      <c r="G76" s="5"/>
      <c r="H76" s="5"/>
      <c r="I76" s="5"/>
      <c r="J76" s="5"/>
      <c r="K76" s="5"/>
    </row>
    <row r="77" spans="2:11">
      <c r="B77" s="2422"/>
      <c r="C77" s="72"/>
      <c r="D77" s="36" t="s">
        <v>1666</v>
      </c>
      <c r="E77" s="5"/>
      <c r="F77" s="5"/>
      <c r="G77" s="5"/>
      <c r="H77" s="5"/>
      <c r="I77" s="5"/>
      <c r="J77" s="5"/>
      <c r="K77" s="5"/>
    </row>
    <row r="78" spans="2:11" ht="24">
      <c r="B78" s="2422"/>
      <c r="C78" s="72"/>
      <c r="D78" s="36" t="s">
        <v>1667</v>
      </c>
      <c r="E78" s="5"/>
      <c r="F78" s="5"/>
      <c r="G78" s="5"/>
      <c r="H78" s="5"/>
      <c r="I78" s="5"/>
      <c r="J78" s="5"/>
      <c r="K78" s="5"/>
    </row>
    <row r="79" spans="2:11" ht="24">
      <c r="B79" s="2422"/>
      <c r="C79" s="72"/>
      <c r="D79" s="36" t="s">
        <v>1668</v>
      </c>
      <c r="E79" s="5"/>
      <c r="F79" s="5"/>
      <c r="G79" s="5"/>
      <c r="H79" s="5"/>
      <c r="I79" s="5"/>
      <c r="J79" s="5"/>
      <c r="K79" s="5"/>
    </row>
    <row r="80" spans="2:11">
      <c r="B80" s="2422"/>
      <c r="C80" s="72"/>
      <c r="D80" s="36" t="s">
        <v>1669</v>
      </c>
      <c r="E80" s="5"/>
      <c r="F80" s="5"/>
      <c r="G80" s="5"/>
      <c r="H80" s="5"/>
      <c r="I80" s="5"/>
      <c r="J80" s="5"/>
      <c r="K80" s="5"/>
    </row>
    <row r="81" spans="2:11" ht="36">
      <c r="B81" s="2422"/>
      <c r="C81" s="72"/>
      <c r="D81" s="36" t="s">
        <v>1670</v>
      </c>
      <c r="E81" s="5"/>
      <c r="F81" s="5"/>
      <c r="G81" s="5"/>
      <c r="H81" s="5"/>
      <c r="I81" s="5"/>
      <c r="J81" s="5"/>
      <c r="K81" s="5"/>
    </row>
    <row r="82" spans="2:11" ht="24">
      <c r="B82" s="2422"/>
      <c r="C82" s="72"/>
      <c r="D82" s="36" t="s">
        <v>1671</v>
      </c>
      <c r="E82" s="5"/>
      <c r="F82" s="5"/>
      <c r="G82" s="5"/>
      <c r="H82" s="5"/>
      <c r="I82" s="5"/>
      <c r="J82" s="5"/>
      <c r="K82" s="5"/>
    </row>
    <row r="83" spans="2:11">
      <c r="B83" s="2422"/>
      <c r="C83" s="72"/>
      <c r="D83" s="36" t="s">
        <v>1672</v>
      </c>
      <c r="E83" s="5"/>
      <c r="F83" s="5"/>
      <c r="G83" s="5"/>
      <c r="H83" s="5"/>
      <c r="I83" s="5"/>
      <c r="J83" s="5"/>
      <c r="K83" s="5"/>
    </row>
    <row r="84" spans="2:11" ht="24">
      <c r="B84" s="2422"/>
      <c r="C84" s="72"/>
      <c r="D84" s="36" t="s">
        <v>1673</v>
      </c>
      <c r="E84" s="5"/>
      <c r="F84" s="5"/>
      <c r="G84" s="5"/>
      <c r="H84" s="5"/>
      <c r="I84" s="5"/>
      <c r="J84" s="5"/>
      <c r="K84" s="5"/>
    </row>
    <row r="85" spans="2:11" ht="43.8" thickBot="1">
      <c r="B85" s="2423"/>
      <c r="C85" s="2"/>
      <c r="D85" s="46" t="s">
        <v>1674</v>
      </c>
      <c r="E85" s="5"/>
      <c r="F85" s="5"/>
      <c r="G85" s="5"/>
      <c r="H85" s="5"/>
      <c r="I85" s="5"/>
      <c r="J85" s="5"/>
      <c r="K85" s="5"/>
    </row>
    <row r="86" spans="2:11">
      <c r="B86" s="2421" t="s">
        <v>842</v>
      </c>
      <c r="C86" s="77"/>
      <c r="D86" s="2421"/>
      <c r="E86" s="5"/>
      <c r="F86" s="5"/>
      <c r="G86" s="5"/>
      <c r="H86" s="5"/>
      <c r="I86" s="5"/>
      <c r="J86" s="5"/>
      <c r="K86" s="5"/>
    </row>
    <row r="87" spans="2:11" ht="15" thickBot="1">
      <c r="B87" s="2423"/>
      <c r="C87" s="78"/>
      <c r="D87" s="2423"/>
      <c r="E87" s="5"/>
      <c r="F87" s="5"/>
      <c r="G87" s="5"/>
      <c r="H87" s="5"/>
      <c r="I87" s="5"/>
      <c r="J87" s="5"/>
      <c r="K87" s="5"/>
    </row>
    <row r="88" spans="2:11" ht="84">
      <c r="B88" s="2421" t="s">
        <v>843</v>
      </c>
      <c r="C88" s="72"/>
      <c r="D88" s="36" t="s">
        <v>1675</v>
      </c>
      <c r="E88" s="5"/>
      <c r="F88" s="5"/>
      <c r="G88" s="5"/>
      <c r="H88" s="5"/>
      <c r="I88" s="5"/>
      <c r="J88" s="5"/>
      <c r="K88" s="5"/>
    </row>
    <row r="89" spans="2:11" ht="108">
      <c r="B89" s="2422"/>
      <c r="C89" s="72"/>
      <c r="D89" s="36" t="s">
        <v>1676</v>
      </c>
      <c r="E89" s="5"/>
      <c r="F89" s="5"/>
      <c r="G89" s="5"/>
      <c r="H89" s="5"/>
      <c r="I89" s="5"/>
      <c r="J89" s="5"/>
      <c r="K89" s="5"/>
    </row>
    <row r="90" spans="2:11" ht="24">
      <c r="B90" s="2422"/>
      <c r="C90" s="72"/>
      <c r="D90" s="36" t="s">
        <v>1677</v>
      </c>
      <c r="E90" s="5"/>
      <c r="F90" s="5"/>
      <c r="G90" s="5"/>
      <c r="H90" s="5"/>
      <c r="I90" s="5"/>
      <c r="J90" s="5"/>
      <c r="K90" s="5"/>
    </row>
    <row r="91" spans="2:11" ht="24">
      <c r="B91" s="2422"/>
      <c r="C91" s="72"/>
      <c r="D91" s="36" t="s">
        <v>1678</v>
      </c>
      <c r="E91" s="5"/>
      <c r="F91" s="5"/>
      <c r="G91" s="5"/>
      <c r="H91" s="5"/>
      <c r="I91" s="5"/>
      <c r="J91" s="5"/>
      <c r="K91" s="5"/>
    </row>
    <row r="92" spans="2:11" ht="24">
      <c r="B92" s="2422"/>
      <c r="C92" s="72"/>
      <c r="D92" s="36" t="s">
        <v>1679</v>
      </c>
      <c r="E92" s="5"/>
      <c r="F92" s="5"/>
      <c r="G92" s="5"/>
      <c r="H92" s="5"/>
      <c r="I92" s="5"/>
      <c r="J92" s="5"/>
      <c r="K92" s="5"/>
    </row>
    <row r="93" spans="2:11" ht="36">
      <c r="B93" s="2422"/>
      <c r="C93" s="72"/>
      <c r="D93" s="36" t="s">
        <v>1680</v>
      </c>
      <c r="E93" s="5"/>
      <c r="F93" s="5"/>
      <c r="G93" s="5"/>
      <c r="H93" s="5"/>
      <c r="I93" s="5"/>
      <c r="J93" s="5"/>
      <c r="K93" s="5"/>
    </row>
    <row r="94" spans="2:11" ht="36">
      <c r="B94" s="2422"/>
      <c r="C94" s="72"/>
      <c r="D94" s="36" t="s">
        <v>1681</v>
      </c>
      <c r="E94" s="5"/>
      <c r="F94" s="5"/>
      <c r="G94" s="5"/>
      <c r="H94" s="5"/>
      <c r="I94" s="5"/>
      <c r="J94" s="5"/>
      <c r="K94" s="5"/>
    </row>
    <row r="95" spans="2:11" ht="24">
      <c r="B95" s="2422"/>
      <c r="C95" s="72"/>
      <c r="D95" s="21" t="s">
        <v>1682</v>
      </c>
      <c r="E95" s="5"/>
      <c r="F95" s="5"/>
      <c r="G95" s="5"/>
      <c r="H95" s="5"/>
      <c r="I95" s="5"/>
      <c r="J95" s="5"/>
      <c r="K95" s="5"/>
    </row>
    <row r="96" spans="2:11" ht="24">
      <c r="B96" s="2422"/>
      <c r="C96" s="72"/>
      <c r="D96" s="21" t="s">
        <v>1683</v>
      </c>
      <c r="E96" s="5"/>
      <c r="F96" s="5"/>
      <c r="G96" s="5"/>
      <c r="H96" s="5"/>
      <c r="I96" s="5"/>
      <c r="J96" s="5"/>
      <c r="K96" s="5"/>
    </row>
    <row r="97" spans="2:11">
      <c r="B97" s="2422"/>
      <c r="C97" s="72"/>
      <c r="D97" s="21" t="s">
        <v>1684</v>
      </c>
      <c r="E97" s="5"/>
      <c r="F97" s="5"/>
      <c r="G97" s="5"/>
      <c r="H97" s="5"/>
      <c r="I97" s="5"/>
      <c r="J97" s="5"/>
      <c r="K97" s="5"/>
    </row>
    <row r="98" spans="2:11">
      <c r="B98" s="2422"/>
      <c r="C98" s="72"/>
      <c r="D98" s="21" t="s">
        <v>1685</v>
      </c>
      <c r="E98" s="5"/>
      <c r="F98" s="5"/>
      <c r="G98" s="5"/>
      <c r="H98" s="5"/>
      <c r="I98" s="5"/>
      <c r="J98" s="5"/>
      <c r="K98" s="5"/>
    </row>
    <row r="99" spans="2:11" ht="36">
      <c r="B99" s="2422"/>
      <c r="C99" s="72"/>
      <c r="D99" s="21" t="s">
        <v>1686</v>
      </c>
      <c r="E99" s="5"/>
      <c r="F99" s="5"/>
      <c r="G99" s="5"/>
      <c r="H99" s="5"/>
      <c r="I99" s="5"/>
      <c r="J99" s="5"/>
      <c r="K99" s="5"/>
    </row>
    <row r="100" spans="2:11" ht="24">
      <c r="B100" s="2422"/>
      <c r="C100" s="72"/>
      <c r="D100" s="21" t="s">
        <v>1687</v>
      </c>
      <c r="E100" s="5"/>
      <c r="F100" s="5"/>
      <c r="G100" s="5"/>
      <c r="H100" s="5"/>
      <c r="I100" s="5"/>
      <c r="J100" s="5"/>
      <c r="K100" s="5"/>
    </row>
    <row r="101" spans="2:11" ht="24">
      <c r="B101" s="2422"/>
      <c r="C101" s="72"/>
      <c r="D101" s="21" t="s">
        <v>1688</v>
      </c>
      <c r="E101" s="5"/>
      <c r="F101" s="5"/>
      <c r="G101" s="5"/>
      <c r="H101" s="5"/>
      <c r="I101" s="5"/>
      <c r="J101" s="5"/>
      <c r="K101" s="5"/>
    </row>
    <row r="102" spans="2:11" ht="36">
      <c r="B102" s="2422"/>
      <c r="C102" s="72"/>
      <c r="D102" s="21" t="s">
        <v>1689</v>
      </c>
      <c r="E102" s="5"/>
      <c r="F102" s="5"/>
      <c r="G102" s="5"/>
      <c r="H102" s="5"/>
      <c r="I102" s="5"/>
      <c r="J102" s="5"/>
      <c r="K102" s="5"/>
    </row>
    <row r="103" spans="2:11" ht="24">
      <c r="B103" s="2422"/>
      <c r="C103" s="72"/>
      <c r="D103" s="21" t="s">
        <v>1690</v>
      </c>
      <c r="E103" s="5"/>
      <c r="F103" s="5"/>
      <c r="G103" s="5"/>
      <c r="H103" s="5"/>
      <c r="I103" s="5"/>
      <c r="J103" s="5"/>
      <c r="K103" s="5"/>
    </row>
    <row r="104" spans="2:11" ht="24">
      <c r="B104" s="2422"/>
      <c r="C104" s="72"/>
      <c r="D104" s="21" t="s">
        <v>1691</v>
      </c>
      <c r="E104" s="5"/>
      <c r="F104" s="5"/>
      <c r="G104" s="5"/>
      <c r="H104" s="5"/>
      <c r="I104" s="5"/>
      <c r="J104" s="5"/>
      <c r="K104" s="5"/>
    </row>
    <row r="105" spans="2:11">
      <c r="B105" s="2422"/>
      <c r="C105" s="72"/>
      <c r="D105" s="21" t="s">
        <v>1692</v>
      </c>
      <c r="E105" s="5"/>
      <c r="F105" s="5"/>
      <c r="G105" s="5"/>
      <c r="H105" s="5"/>
      <c r="I105" s="5"/>
      <c r="J105" s="5"/>
      <c r="K105" s="5"/>
    </row>
    <row r="106" spans="2:11" ht="24">
      <c r="B106" s="2422"/>
      <c r="C106" s="72"/>
      <c r="D106" s="21" t="s">
        <v>1693</v>
      </c>
      <c r="E106" s="5"/>
      <c r="F106" s="5"/>
      <c r="G106" s="5"/>
      <c r="H106" s="5"/>
      <c r="I106" s="5"/>
      <c r="J106" s="5"/>
      <c r="K106" s="5"/>
    </row>
    <row r="107" spans="2:11" ht="24">
      <c r="B107" s="2422"/>
      <c r="C107" s="72"/>
      <c r="D107" s="21" t="s">
        <v>1694</v>
      </c>
      <c r="E107" s="5"/>
      <c r="F107" s="5"/>
      <c r="G107" s="5"/>
      <c r="H107" s="5"/>
      <c r="I107" s="5"/>
      <c r="J107" s="5"/>
      <c r="K107" s="5"/>
    </row>
    <row r="108" spans="2:11" ht="24">
      <c r="B108" s="2422"/>
      <c r="C108" s="72"/>
      <c r="D108" s="21" t="s">
        <v>1695</v>
      </c>
      <c r="E108" s="5"/>
      <c r="F108" s="5"/>
      <c r="G108" s="5"/>
      <c r="H108" s="5"/>
      <c r="I108" s="5"/>
      <c r="J108" s="5"/>
      <c r="K108" s="5"/>
    </row>
    <row r="109" spans="2:11" ht="156">
      <c r="B109" s="2422"/>
      <c r="C109" s="72"/>
      <c r="D109" s="36" t="s">
        <v>1696</v>
      </c>
      <c r="E109" s="5"/>
      <c r="F109" s="5"/>
      <c r="G109" s="5"/>
      <c r="H109" s="5"/>
      <c r="I109" s="5"/>
      <c r="J109" s="5"/>
      <c r="K109" s="5"/>
    </row>
    <row r="110" spans="2:11" ht="36.6" thickBot="1">
      <c r="B110" s="2423"/>
      <c r="C110" s="2"/>
      <c r="D110" s="32" t="s">
        <v>1697</v>
      </c>
      <c r="E110" s="5"/>
      <c r="F110" s="5"/>
      <c r="G110" s="5"/>
      <c r="H110" s="5"/>
      <c r="I110" s="5"/>
      <c r="J110" s="5"/>
      <c r="K110" s="5"/>
    </row>
    <row r="111" spans="2:11" ht="24">
      <c r="B111" s="2421" t="s">
        <v>860</v>
      </c>
      <c r="C111" s="72"/>
      <c r="D111" s="43" t="s">
        <v>29</v>
      </c>
      <c r="E111" s="5"/>
      <c r="F111" s="5"/>
      <c r="G111" s="5"/>
      <c r="H111" s="5"/>
      <c r="I111" s="5"/>
      <c r="J111" s="5"/>
      <c r="K111" s="5"/>
    </row>
    <row r="112" spans="2:11" ht="20.399999999999999" customHeight="1">
      <c r="B112" s="2422"/>
      <c r="C112" s="72"/>
      <c r="D112" s="13"/>
      <c r="E112" s="5"/>
      <c r="F112" s="5"/>
      <c r="G112" s="5"/>
      <c r="H112" s="5"/>
      <c r="I112" s="5"/>
      <c r="J112" s="5"/>
      <c r="K112" s="5"/>
    </row>
    <row r="113" spans="2:11">
      <c r="B113" s="2422"/>
      <c r="C113" s="72"/>
      <c r="D113" s="36" t="s">
        <v>861</v>
      </c>
      <c r="E113" s="5"/>
      <c r="F113" s="5"/>
      <c r="G113" s="5"/>
      <c r="H113" s="5"/>
      <c r="I113" s="5"/>
      <c r="J113" s="5"/>
      <c r="K113" s="5"/>
    </row>
    <row r="114" spans="2:11" ht="26.4">
      <c r="B114" s="2422"/>
      <c r="C114" s="72"/>
      <c r="D114" s="36" t="s">
        <v>1698</v>
      </c>
      <c r="E114" s="5"/>
      <c r="F114" s="5"/>
      <c r="G114" s="5"/>
      <c r="H114" s="5"/>
      <c r="I114" s="5"/>
      <c r="J114" s="5"/>
      <c r="K114" s="5"/>
    </row>
    <row r="115" spans="2:11" ht="26.4">
      <c r="B115" s="2422"/>
      <c r="C115" s="72"/>
      <c r="D115" s="36" t="s">
        <v>1699</v>
      </c>
      <c r="E115" s="5"/>
      <c r="F115" s="5"/>
      <c r="G115" s="5"/>
      <c r="H115" s="5"/>
      <c r="I115" s="5"/>
      <c r="J115" s="5"/>
      <c r="K115" s="5"/>
    </row>
    <row r="116" spans="2:11" ht="26.4">
      <c r="B116" s="2422"/>
      <c r="C116" s="72"/>
      <c r="D116" s="36" t="s">
        <v>1700</v>
      </c>
      <c r="E116" s="5"/>
      <c r="F116" s="5"/>
      <c r="G116" s="5"/>
      <c r="H116" s="5"/>
      <c r="I116" s="5"/>
      <c r="J116" s="5"/>
      <c r="K116" s="5"/>
    </row>
    <row r="117" spans="2:11" ht="26.4">
      <c r="B117" s="2422"/>
      <c r="C117" s="72"/>
      <c r="D117" s="36" t="s">
        <v>1701</v>
      </c>
      <c r="E117" s="5"/>
      <c r="F117" s="5"/>
      <c r="G117" s="5"/>
      <c r="H117" s="5"/>
      <c r="I117" s="5"/>
      <c r="J117" s="5"/>
      <c r="K117" s="5"/>
    </row>
    <row r="118" spans="2:11">
      <c r="B118" s="2422"/>
      <c r="C118" s="72"/>
      <c r="D118" s="36" t="s">
        <v>1702</v>
      </c>
      <c r="E118" s="5"/>
      <c r="F118" s="5"/>
      <c r="G118" s="5"/>
      <c r="H118" s="5"/>
      <c r="I118" s="5"/>
      <c r="J118" s="5"/>
      <c r="K118" s="5"/>
    </row>
    <row r="119" spans="2:11">
      <c r="B119" s="2422"/>
      <c r="C119" s="72"/>
      <c r="D119" s="36" t="s">
        <v>1703</v>
      </c>
      <c r="E119" s="5"/>
      <c r="F119" s="5"/>
      <c r="G119" s="5"/>
      <c r="H119" s="5"/>
      <c r="I119" s="5"/>
      <c r="J119" s="5"/>
      <c r="K119" s="5"/>
    </row>
    <row r="120" spans="2:11">
      <c r="B120" s="2422"/>
      <c r="C120" s="72"/>
      <c r="D120" s="36" t="s">
        <v>1704</v>
      </c>
      <c r="E120" s="5"/>
      <c r="F120" s="5"/>
      <c r="G120" s="5"/>
      <c r="H120" s="5"/>
      <c r="I120" s="5"/>
      <c r="J120" s="5"/>
      <c r="K120" s="5"/>
    </row>
    <row r="121" spans="2:11">
      <c r="B121" s="2422"/>
      <c r="C121" s="72"/>
      <c r="D121" s="36" t="s">
        <v>1705</v>
      </c>
      <c r="E121" s="5"/>
      <c r="F121" s="5"/>
      <c r="G121" s="5"/>
      <c r="H121" s="5"/>
      <c r="I121" s="5"/>
      <c r="J121" s="5"/>
      <c r="K121" s="5"/>
    </row>
    <row r="122" spans="2:11" ht="60">
      <c r="B122" s="2422"/>
      <c r="C122" s="72"/>
      <c r="D122" s="44" t="s">
        <v>1052</v>
      </c>
      <c r="E122" s="5"/>
      <c r="F122" s="5"/>
      <c r="G122" s="5"/>
      <c r="H122" s="5"/>
      <c r="I122" s="5"/>
      <c r="J122" s="5"/>
      <c r="K122" s="5"/>
    </row>
    <row r="123" spans="2:11">
      <c r="B123" s="2422"/>
      <c r="C123" s="72"/>
      <c r="D123" s="36" t="s">
        <v>1021</v>
      </c>
      <c r="E123" s="5"/>
      <c r="F123" s="5"/>
      <c r="G123" s="5"/>
      <c r="H123" s="5"/>
      <c r="I123" s="5"/>
      <c r="J123" s="5"/>
      <c r="K123" s="5"/>
    </row>
    <row r="124" spans="2:11" ht="36">
      <c r="B124" s="2422"/>
      <c r="C124" s="72"/>
      <c r="D124" s="43" t="s">
        <v>1706</v>
      </c>
      <c r="E124" s="5"/>
      <c r="F124" s="5"/>
      <c r="G124" s="5"/>
      <c r="H124" s="5"/>
      <c r="I124" s="5"/>
      <c r="J124" s="5"/>
      <c r="K124" s="5"/>
    </row>
    <row r="125" spans="2:11">
      <c r="B125" s="2422"/>
      <c r="C125" s="72"/>
      <c r="D125" s="13"/>
      <c r="E125" s="5"/>
      <c r="F125" s="5"/>
      <c r="G125" s="5"/>
      <c r="H125" s="5"/>
      <c r="I125" s="5"/>
      <c r="J125" s="5"/>
      <c r="K125" s="5"/>
    </row>
    <row r="126" spans="2:11">
      <c r="B126" s="2422"/>
      <c r="C126" s="72"/>
      <c r="D126" s="36" t="s">
        <v>861</v>
      </c>
      <c r="E126" s="5"/>
      <c r="F126" s="5"/>
      <c r="G126" s="5"/>
      <c r="H126" s="5"/>
      <c r="I126" s="5"/>
      <c r="J126" s="5"/>
      <c r="K126" s="5"/>
    </row>
    <row r="127" spans="2:11" ht="38.4">
      <c r="B127" s="2422"/>
      <c r="C127" s="72"/>
      <c r="D127" s="36" t="s">
        <v>1707</v>
      </c>
      <c r="E127" s="5"/>
      <c r="F127" s="5"/>
      <c r="G127" s="5"/>
      <c r="H127" s="5"/>
      <c r="I127" s="5"/>
      <c r="J127" s="5"/>
      <c r="K127" s="5"/>
    </row>
    <row r="128" spans="2:11" ht="26.4">
      <c r="B128" s="2422"/>
      <c r="C128" s="72"/>
      <c r="D128" s="36" t="s">
        <v>1708</v>
      </c>
      <c r="E128" s="5"/>
      <c r="F128" s="5"/>
      <c r="G128" s="5"/>
      <c r="H128" s="5"/>
      <c r="I128" s="5"/>
      <c r="J128" s="5"/>
      <c r="K128" s="5"/>
    </row>
    <row r="129" spans="2:11" ht="27" thickBot="1">
      <c r="B129" s="2423"/>
      <c r="C129" s="2"/>
      <c r="D129" s="32" t="s">
        <v>1709</v>
      </c>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sheetData>
  <mergeCells count="37">
    <mergeCell ref="B10:D10"/>
    <mergeCell ref="F10:S10"/>
    <mergeCell ref="F11:S11"/>
    <mergeCell ref="E12:R12"/>
    <mergeCell ref="E13:R13"/>
    <mergeCell ref="B111:B129"/>
    <mergeCell ref="B64:E64"/>
    <mergeCell ref="C22:C23"/>
    <mergeCell ref="B70:B85"/>
    <mergeCell ref="B86:B87"/>
    <mergeCell ref="D86:D87"/>
    <mergeCell ref="B88:B110"/>
    <mergeCell ref="C30:C32"/>
    <mergeCell ref="D30:D32"/>
    <mergeCell ref="B41:E41"/>
    <mergeCell ref="B42:B48"/>
    <mergeCell ref="B50:E50"/>
    <mergeCell ref="B51:B57"/>
    <mergeCell ref="F30:G30"/>
    <mergeCell ref="H30:H32"/>
    <mergeCell ref="E31:E32"/>
    <mergeCell ref="F31:F32"/>
    <mergeCell ref="D28:L28"/>
    <mergeCell ref="D29:L29"/>
    <mergeCell ref="B15:B19"/>
    <mergeCell ref="D21:L21"/>
    <mergeCell ref="D22:D23"/>
    <mergeCell ref="E22:E23"/>
    <mergeCell ref="F22:G22"/>
    <mergeCell ref="H22:K22"/>
    <mergeCell ref="D15:L15"/>
    <mergeCell ref="D20:L20"/>
    <mergeCell ref="A1:P1"/>
    <mergeCell ref="A2:P2"/>
    <mergeCell ref="A3:P3"/>
    <mergeCell ref="A4:D4"/>
    <mergeCell ref="A5:P5"/>
  </mergeCells>
  <conditionalFormatting sqref="D36">
    <cfRule type="containsText" dxfId="44" priority="5" operator="containsText" text="ERROR">
      <formula>NOT(ISERROR(SEARCH("ERROR",D36)))</formula>
    </cfRule>
  </conditionalFormatting>
  <conditionalFormatting sqref="E12:R12">
    <cfRule type="expression" dxfId="43" priority="1">
      <formula>E11="SI SE REPORTA"</formula>
    </cfRule>
  </conditionalFormatting>
  <conditionalFormatting sqref="F10">
    <cfRule type="notContainsBlanks" dxfId="42" priority="4">
      <formula>LEN(TRIM(F10))&gt;0</formula>
    </cfRule>
  </conditionalFormatting>
  <conditionalFormatting sqref="F11:S11">
    <cfRule type="expression" dxfId="41" priority="2">
      <formula>E11="NO SE REPORTA"</formula>
    </cfRule>
    <cfRule type="expression" dxfId="40"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800-000000000000}">
      <formula1>0</formula1>
    </dataValidation>
    <dataValidation type="whole" operator="greaterThanOrEqual" allowBlank="1" showInputMessage="1" showErrorMessage="1" errorTitle="ERROR" error="Valor en PESOS (sin centavos)" sqref="E18:H19 H24:K26" xr:uid="{00000000-0002-0000-1800-000001000000}">
      <formula1>0</formula1>
    </dataValidation>
    <dataValidation type="decimal" allowBlank="1" showInputMessage="1" showErrorMessage="1" errorTitle="ERROR" error="Escriba un valor entre 0% y 100%" sqref="F24:G26 E33:E35" xr:uid="{00000000-0002-0000-1800-000002000000}">
      <formula1>0</formula1>
      <formula2>1</formula2>
    </dataValidation>
    <dataValidation allowBlank="1" showInputMessage="1" showErrorMessage="1" sqref="H27:K27 D36:F36 F33:F35 G33:G36" xr:uid="{00000000-0002-0000-1800-000003000000}"/>
    <dataValidation type="list" allowBlank="1" showInputMessage="1" showErrorMessage="1" sqref="E11" xr:uid="{00000000-0002-0000-1800-000004000000}">
      <formula1>REPORTE</formula1>
    </dataValidation>
    <dataValidation type="list" allowBlank="1" showInputMessage="1" showErrorMessage="1" sqref="E10" xr:uid="{00000000-0002-0000-1800-000005000000}">
      <formula1>SI</formula1>
    </dataValidation>
  </dataValidations>
  <hyperlinks>
    <hyperlink ref="D85" r:id="rId1" xr:uid="{00000000-0004-0000-1800-000000000000}"/>
    <hyperlink ref="B9" location="'ANEXO 3'!A1" display="VOLVER AL INDICE" xr:uid="{00000000-0004-0000-1800-000001000000}"/>
    <hyperlink ref="E46" r:id="rId2" xr:uid="{00000000-0004-0000-1800-000002000000}"/>
  </hyperlinks>
  <pageMargins left="0.25" right="0.25" top="0.75" bottom="0.75" header="0.3" footer="0.3"/>
  <pageSetup paperSize="178" orientation="landscape" horizontalDpi="1200" verticalDpi="120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1">
    <tabColor theme="0" tint="-0.14999847407452621"/>
  </sheetPr>
  <dimension ref="A1:U188"/>
  <sheetViews>
    <sheetView topLeftCell="A19" zoomScale="93" zoomScaleNormal="93" workbookViewId="0">
      <selection activeCell="D8" sqref="D8"/>
    </sheetView>
  </sheetViews>
  <sheetFormatPr baseColWidth="10" defaultColWidth="11.44140625" defaultRowHeight="14.4"/>
  <cols>
    <col min="1" max="1" width="1.88671875" customWidth="1"/>
    <col min="2" max="2" width="12.88671875" customWidth="1"/>
    <col min="3" max="3" width="6.44140625" style="65" customWidth="1"/>
    <col min="4" max="4" width="34.88671875" customWidth="1"/>
    <col min="5" max="5" width="26.33203125" customWidth="1"/>
    <col min="6" max="6" width="16" style="109" customWidth="1"/>
    <col min="9" max="9" width="11.44140625" style="109"/>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
        <v>520</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529"/>
      <c r="G4" s="312"/>
      <c r="H4" s="312"/>
      <c r="I4" s="312"/>
      <c r="J4" s="312"/>
      <c r="K4" s="312"/>
      <c r="L4" s="313"/>
      <c r="M4" s="313"/>
      <c r="N4" s="313"/>
      <c r="O4" s="313"/>
      <c r="P4" s="314"/>
      <c r="Q4"/>
      <c r="R4"/>
    </row>
    <row r="5" spans="1:21" ht="16.5" customHeight="1" thickBot="1">
      <c r="A5" s="2392" t="s">
        <v>30</v>
      </c>
      <c r="B5" s="2393"/>
      <c r="C5" s="2393"/>
      <c r="D5" s="2393"/>
      <c r="E5" s="2393"/>
      <c r="F5" s="2393"/>
      <c r="G5" s="2393"/>
      <c r="H5" s="2393"/>
      <c r="I5" s="2393"/>
      <c r="J5" s="2393"/>
      <c r="K5" s="2393"/>
      <c r="L5" s="2393"/>
      <c r="M5" s="2393"/>
      <c r="N5" s="2393"/>
      <c r="O5" s="2393"/>
      <c r="P5" s="2394"/>
    </row>
    <row r="6" spans="1:21">
      <c r="B6" s="3" t="s">
        <v>736</v>
      </c>
      <c r="C6" s="73"/>
      <c r="D6" s="5"/>
      <c r="E6" s="61"/>
      <c r="F6" s="65" t="s">
        <v>737</v>
      </c>
      <c r="G6" s="5"/>
      <c r="H6" s="5"/>
      <c r="I6" s="65"/>
      <c r="J6" s="5"/>
      <c r="K6" s="5"/>
    </row>
    <row r="7" spans="1:21" ht="15" thickBot="1">
      <c r="B7" s="62"/>
      <c r="C7" s="64"/>
      <c r="D7" s="5"/>
      <c r="E7" s="14"/>
      <c r="F7" s="65" t="s">
        <v>738</v>
      </c>
      <c r="G7" s="5"/>
      <c r="H7" s="5"/>
      <c r="I7" s="65"/>
      <c r="J7" s="5"/>
      <c r="K7" s="5"/>
    </row>
    <row r="8" spans="1:21" ht="15" thickBot="1">
      <c r="B8" s="141" t="s">
        <v>739</v>
      </c>
      <c r="C8" s="540">
        <v>2025</v>
      </c>
      <c r="D8" s="164">
        <f>IF(E10="NO APLICA","NO APLICA",IF(E11="NO SE REPORTA","SIN INFORMACION",+G57))</f>
        <v>0.87886520719561434</v>
      </c>
      <c r="E8" s="161"/>
      <c r="F8" s="65" t="s">
        <v>740</v>
      </c>
      <c r="G8" s="5"/>
      <c r="H8" s="5"/>
      <c r="I8" s="65"/>
      <c r="J8" s="5"/>
      <c r="K8" s="5"/>
    </row>
    <row r="9" spans="1:21">
      <c r="B9" s="290" t="s">
        <v>741</v>
      </c>
      <c r="D9" s="5"/>
      <c r="E9" s="5"/>
      <c r="F9" s="65"/>
      <c r="G9" s="5"/>
      <c r="H9" s="5"/>
      <c r="I9" s="6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129" customHeight="1">
      <c r="B12" s="290"/>
      <c r="C12" s="66"/>
      <c r="D12" s="141" t="str">
        <f>IF(E11="SI SE REPORTA","¿Qué programas o proyectos del Plan de Acción están asociados al indicador? ","")</f>
        <v xml:space="preserve">¿Qué programas o proyectos del Plan de Acción están asociados al indicador? </v>
      </c>
      <c r="E12" s="2547" t="s">
        <v>2113</v>
      </c>
      <c r="F12" s="2547"/>
      <c r="G12" s="2547"/>
      <c r="H12" s="2547"/>
      <c r="I12" s="2547"/>
      <c r="J12" s="2547"/>
      <c r="K12" s="2547"/>
      <c r="L12" s="2547"/>
      <c r="M12" s="2547"/>
      <c r="N12" s="2547"/>
      <c r="O12" s="2547"/>
      <c r="P12" s="2547"/>
      <c r="Q12" s="2547"/>
      <c r="R12" s="2547"/>
    </row>
    <row r="13" spans="1:21" ht="33" customHeight="1">
      <c r="B13" s="290"/>
      <c r="C13" s="66"/>
      <c r="D13" s="141" t="s">
        <v>746</v>
      </c>
      <c r="E13" s="2501" t="s">
        <v>1710</v>
      </c>
      <c r="F13" s="2502"/>
      <c r="G13" s="2502"/>
      <c r="H13" s="2502"/>
      <c r="I13" s="2502"/>
      <c r="J13" s="2502"/>
      <c r="K13" s="2502"/>
      <c r="L13" s="2502"/>
      <c r="M13" s="2502"/>
      <c r="N13" s="2502"/>
      <c r="O13" s="2502"/>
      <c r="P13" s="2502"/>
      <c r="Q13" s="2502"/>
      <c r="R13" s="2503"/>
    </row>
    <row r="14" spans="1:21" ht="6.9" customHeight="1" thickBot="1">
      <c r="B14" s="290"/>
      <c r="D14" s="5"/>
      <c r="E14" s="5"/>
      <c r="F14" s="65"/>
      <c r="G14" s="5"/>
      <c r="H14" s="5"/>
      <c r="I14" s="65"/>
      <c r="J14" s="5"/>
      <c r="K14" s="5"/>
    </row>
    <row r="15" spans="1:21">
      <c r="B15" s="2421" t="s">
        <v>747</v>
      </c>
      <c r="C15" s="67"/>
      <c r="D15" s="2412" t="s">
        <v>748</v>
      </c>
      <c r="E15" s="2413"/>
      <c r="F15" s="2413"/>
      <c r="G15" s="2413"/>
      <c r="H15" s="2413"/>
      <c r="I15" s="2414"/>
      <c r="J15" s="5"/>
      <c r="K15" s="5"/>
    </row>
    <row r="16" spans="1:21" ht="15" thickBot="1">
      <c r="B16" s="2422"/>
      <c r="C16" s="70"/>
      <c r="D16" s="2674" t="s">
        <v>1711</v>
      </c>
      <c r="E16" s="2675"/>
      <c r="F16" s="2675"/>
      <c r="G16" s="2675"/>
      <c r="H16" s="2675"/>
      <c r="I16" s="2676"/>
      <c r="J16" s="5"/>
      <c r="K16" s="5"/>
    </row>
    <row r="17" spans="2:11" ht="15" thickBot="1">
      <c r="B17" s="2422"/>
      <c r="C17" s="70"/>
      <c r="D17" s="2735" t="s">
        <v>1712</v>
      </c>
      <c r="E17" s="2736"/>
      <c r="F17" s="2736"/>
      <c r="G17" s="2736"/>
      <c r="H17" s="2736"/>
      <c r="I17" s="2737"/>
      <c r="J17" s="5"/>
      <c r="K17" s="5"/>
    </row>
    <row r="18" spans="2:11" ht="15" thickBot="1">
      <c r="B18" s="2422"/>
      <c r="C18" s="72"/>
      <c r="D18" s="34" t="s">
        <v>904</v>
      </c>
      <c r="E18" s="68" t="s">
        <v>784</v>
      </c>
      <c r="F18" s="68" t="s">
        <v>593</v>
      </c>
      <c r="G18" s="30" t="s">
        <v>594</v>
      </c>
      <c r="H18" s="30" t="s">
        <v>595</v>
      </c>
      <c r="I18" s="68" t="s">
        <v>905</v>
      </c>
      <c r="J18" s="5"/>
      <c r="K18" s="5"/>
    </row>
    <row r="19" spans="2:11" ht="36">
      <c r="B19" s="2422"/>
      <c r="C19" s="72"/>
      <c r="D19" s="32" t="s">
        <v>1713</v>
      </c>
      <c r="E19" s="494">
        <v>362</v>
      </c>
      <c r="F19" s="494">
        <v>65</v>
      </c>
      <c r="G19" s="494"/>
      <c r="H19" s="494"/>
      <c r="I19" s="830">
        <f>SUM(E19:H19)</f>
        <v>427</v>
      </c>
      <c r="J19" s="5"/>
      <c r="K19" s="5"/>
    </row>
    <row r="20" spans="2:11" ht="24.6" thickBot="1">
      <c r="B20" s="2422"/>
      <c r="C20" s="72"/>
      <c r="D20" s="32" t="s">
        <v>1714</v>
      </c>
      <c r="E20" s="494">
        <v>3</v>
      </c>
      <c r="F20" s="494">
        <v>3</v>
      </c>
      <c r="G20" s="494"/>
      <c r="H20" s="494"/>
      <c r="I20" s="830">
        <f>SUM(E20:H20)</f>
        <v>6</v>
      </c>
      <c r="J20" s="5"/>
      <c r="K20" s="5"/>
    </row>
    <row r="21" spans="2:11" ht="24.6" thickBot="1">
      <c r="B21" s="2422"/>
      <c r="C21" s="72"/>
      <c r="D21" s="32" t="s">
        <v>1715</v>
      </c>
      <c r="E21" s="516">
        <f>+E19/E20</f>
        <v>120.66666666666667</v>
      </c>
      <c r="F21" s="516">
        <f>+F19/F20</f>
        <v>21.666666666666668</v>
      </c>
      <c r="G21" s="516" t="e">
        <f>+G19/G20</f>
        <v>#DIV/0!</v>
      </c>
      <c r="H21" s="516" t="e">
        <f>+H19/H20</f>
        <v>#DIV/0!</v>
      </c>
      <c r="I21" s="516">
        <f>+I19/I20</f>
        <v>71.166666666666671</v>
      </c>
      <c r="J21" s="5"/>
      <c r="K21" s="5"/>
    </row>
    <row r="22" spans="2:11">
      <c r="B22" s="2422"/>
      <c r="C22" s="70"/>
      <c r="D22" s="2412"/>
      <c r="E22" s="2413"/>
      <c r="F22" s="2413"/>
      <c r="G22" s="2413"/>
      <c r="H22" s="2413"/>
      <c r="I22" s="2414"/>
      <c r="J22" s="5"/>
      <c r="K22" s="5"/>
    </row>
    <row r="23" spans="2:11" ht="15" thickBot="1">
      <c r="B23" s="2422"/>
      <c r="C23" s="70"/>
      <c r="D23" s="2674" t="s">
        <v>1716</v>
      </c>
      <c r="E23" s="2675"/>
      <c r="F23" s="2675"/>
      <c r="G23" s="2675"/>
      <c r="H23" s="2675"/>
      <c r="I23" s="2676"/>
      <c r="J23" s="5"/>
      <c r="K23" s="5"/>
    </row>
    <row r="24" spans="2:11" ht="15" thickBot="1">
      <c r="B24" s="2422"/>
      <c r="C24" s="70"/>
      <c r="D24" s="2735" t="s">
        <v>1717</v>
      </c>
      <c r="E24" s="2736"/>
      <c r="F24" s="2736"/>
      <c r="G24" s="2736"/>
      <c r="H24" s="2736"/>
      <c r="I24" s="2737"/>
      <c r="J24" s="5"/>
      <c r="K24" s="5"/>
    </row>
    <row r="25" spans="2:11" ht="15" customHeight="1" thickBot="1">
      <c r="B25" s="2422"/>
      <c r="C25" s="72"/>
      <c r="D25" s="34" t="s">
        <v>904</v>
      </c>
      <c r="E25" s="508" t="s">
        <v>784</v>
      </c>
      <c r="F25" s="68" t="s">
        <v>593</v>
      </c>
      <c r="G25" s="30" t="s">
        <v>594</v>
      </c>
      <c r="H25" s="30" t="s">
        <v>595</v>
      </c>
      <c r="I25" s="68" t="s">
        <v>905</v>
      </c>
      <c r="J25" s="5"/>
      <c r="K25" s="5"/>
    </row>
    <row r="26" spans="2:11" ht="24.75" customHeight="1">
      <c r="B26" s="2422"/>
      <c r="C26" s="72"/>
      <c r="D26" s="32"/>
      <c r="E26" s="494">
        <v>750</v>
      </c>
      <c r="F26" s="494">
        <v>85</v>
      </c>
      <c r="G26" s="494"/>
      <c r="H26" s="494"/>
      <c r="I26" s="501">
        <f>SUM(E26:H26)</f>
        <v>835</v>
      </c>
      <c r="J26" s="5"/>
      <c r="K26" s="5"/>
    </row>
    <row r="27" spans="2:11" ht="25.5" customHeight="1">
      <c r="B27" s="2422"/>
      <c r="C27" s="72"/>
      <c r="D27" s="32" t="s">
        <v>1718</v>
      </c>
      <c r="E27" s="494">
        <v>7</v>
      </c>
      <c r="F27" s="494">
        <v>14</v>
      </c>
      <c r="G27" s="494"/>
      <c r="H27" s="494"/>
      <c r="I27" s="825">
        <f>SUM(E27:H27)</f>
        <v>21</v>
      </c>
      <c r="J27" s="5"/>
      <c r="K27" s="5"/>
    </row>
    <row r="28" spans="2:11" ht="24.6" thickBot="1">
      <c r="B28" s="2422"/>
      <c r="C28" s="72"/>
      <c r="D28" s="32" t="s">
        <v>1719</v>
      </c>
      <c r="E28" s="516">
        <f>+E26/E27</f>
        <v>107.14285714285714</v>
      </c>
      <c r="F28" s="516">
        <f>+F26/F27</f>
        <v>6.0714285714285712</v>
      </c>
      <c r="G28" s="516" t="e">
        <f>+G26/G27</f>
        <v>#DIV/0!</v>
      </c>
      <c r="H28" s="516" t="e">
        <f>+H26/H27</f>
        <v>#DIV/0!</v>
      </c>
      <c r="I28" s="516">
        <f>+I26/I27</f>
        <v>39.761904761904759</v>
      </c>
      <c r="J28" s="5"/>
      <c r="K28" s="5"/>
    </row>
    <row r="29" spans="2:11">
      <c r="B29" s="2422"/>
      <c r="C29" s="70"/>
      <c r="D29" s="2412"/>
      <c r="E29" s="2413"/>
      <c r="F29" s="2413"/>
      <c r="G29" s="2413"/>
      <c r="H29" s="2413"/>
      <c r="I29" s="2414"/>
      <c r="J29" s="5"/>
      <c r="K29" s="5"/>
    </row>
    <row r="30" spans="2:11" ht="15" thickBot="1">
      <c r="B30" s="2422"/>
      <c r="C30" s="70"/>
      <c r="D30" s="2674" t="s">
        <v>1720</v>
      </c>
      <c r="E30" s="2675"/>
      <c r="F30" s="2675"/>
      <c r="G30" s="2675"/>
      <c r="H30" s="2675"/>
      <c r="I30" s="2676"/>
      <c r="J30" s="5"/>
      <c r="K30" s="5"/>
    </row>
    <row r="31" spans="2:11" ht="15" thickBot="1">
      <c r="B31" s="2422"/>
      <c r="C31" s="70"/>
      <c r="D31" s="2735" t="s">
        <v>1721</v>
      </c>
      <c r="E31" s="2736"/>
      <c r="F31" s="2736"/>
      <c r="G31" s="2736"/>
      <c r="H31" s="2736"/>
      <c r="I31" s="2737"/>
      <c r="J31" s="5"/>
      <c r="K31" s="5"/>
    </row>
    <row r="32" spans="2:11" ht="15" thickBot="1">
      <c r="B32" s="2422"/>
      <c r="C32" s="72"/>
      <c r="D32" s="34" t="s">
        <v>904</v>
      </c>
      <c r="E32" s="68" t="s">
        <v>784</v>
      </c>
      <c r="F32" s="68" t="s">
        <v>593</v>
      </c>
      <c r="G32" s="30" t="s">
        <v>594</v>
      </c>
      <c r="H32" s="30" t="s">
        <v>595</v>
      </c>
      <c r="I32" s="68" t="s">
        <v>905</v>
      </c>
      <c r="J32" s="5"/>
      <c r="K32" s="5"/>
    </row>
    <row r="33" spans="2:11" ht="36">
      <c r="B33" s="2422"/>
      <c r="C33" s="72"/>
      <c r="D33" s="32" t="s">
        <v>1722</v>
      </c>
      <c r="E33" s="494">
        <v>300</v>
      </c>
      <c r="F33" s="494">
        <v>56</v>
      </c>
      <c r="G33" s="494"/>
      <c r="H33" s="494"/>
      <c r="I33" s="501">
        <f>SUM(E33:H33)</f>
        <v>356</v>
      </c>
      <c r="J33" s="5"/>
      <c r="K33" s="5"/>
    </row>
    <row r="34" spans="2:11" ht="24">
      <c r="B34" s="2422"/>
      <c r="C34" s="72"/>
      <c r="D34" s="32" t="s">
        <v>1723</v>
      </c>
      <c r="E34" s="494">
        <v>5</v>
      </c>
      <c r="F34" s="494">
        <v>3</v>
      </c>
      <c r="G34" s="494"/>
      <c r="H34" s="494"/>
      <c r="I34" s="501">
        <f>SUM(E34:H34)</f>
        <v>8</v>
      </c>
      <c r="J34" s="5"/>
      <c r="K34" s="5"/>
    </row>
    <row r="35" spans="2:11" ht="36.6" thickBot="1">
      <c r="B35" s="2422"/>
      <c r="C35" s="72"/>
      <c r="D35" s="32" t="s">
        <v>1724</v>
      </c>
      <c r="E35" s="516">
        <f>+E33/E34</f>
        <v>60</v>
      </c>
      <c r="F35" s="516">
        <f>+F33/F34</f>
        <v>18.666666666666668</v>
      </c>
      <c r="G35" s="516" t="e">
        <f>+G33/G34</f>
        <v>#DIV/0!</v>
      </c>
      <c r="H35" s="516" t="e">
        <f>+H33/H34</f>
        <v>#DIV/0!</v>
      </c>
      <c r="I35" s="516">
        <f>+I33/I34</f>
        <v>44.5</v>
      </c>
      <c r="J35" s="5"/>
      <c r="K35" s="5"/>
    </row>
    <row r="36" spans="2:11">
      <c r="B36" s="2422"/>
      <c r="C36" s="70"/>
      <c r="D36" s="2412"/>
      <c r="E36" s="2413"/>
      <c r="F36" s="2413"/>
      <c r="G36" s="2413"/>
      <c r="H36" s="2413"/>
      <c r="I36" s="2414"/>
      <c r="J36" s="5"/>
      <c r="K36" s="5"/>
    </row>
    <row r="37" spans="2:11" ht="15" thickBot="1">
      <c r="B37" s="2422"/>
      <c r="C37" s="70"/>
      <c r="D37" s="2674" t="s">
        <v>1725</v>
      </c>
      <c r="E37" s="2675"/>
      <c r="F37" s="2675"/>
      <c r="G37" s="2675"/>
      <c r="H37" s="2675"/>
      <c r="I37" s="2676"/>
      <c r="J37" s="5"/>
      <c r="K37" s="5"/>
    </row>
    <row r="38" spans="2:11" ht="15" thickBot="1">
      <c r="B38" s="2422"/>
      <c r="C38" s="70"/>
      <c r="D38" s="2735" t="s">
        <v>1726</v>
      </c>
      <c r="E38" s="2736"/>
      <c r="F38" s="2736"/>
      <c r="G38" s="2736"/>
      <c r="H38" s="2736"/>
      <c r="I38" s="2737"/>
      <c r="J38" s="5"/>
      <c r="K38" s="5"/>
    </row>
    <row r="39" spans="2:11" ht="15" thickBot="1">
      <c r="B39" s="2422"/>
      <c r="C39" s="72"/>
      <c r="D39" s="34" t="s">
        <v>904</v>
      </c>
      <c r="E39" s="68" t="s">
        <v>784</v>
      </c>
      <c r="F39" s="68" t="s">
        <v>593</v>
      </c>
      <c r="G39" s="30" t="s">
        <v>594</v>
      </c>
      <c r="H39" s="30" t="s">
        <v>595</v>
      </c>
      <c r="I39" s="68" t="s">
        <v>905</v>
      </c>
      <c r="J39" s="5"/>
      <c r="K39" s="5"/>
    </row>
    <row r="40" spans="2:11" ht="36">
      <c r="B40" s="2422"/>
      <c r="C40" s="72"/>
      <c r="D40" s="32" t="s">
        <v>1727</v>
      </c>
      <c r="E40" s="494">
        <v>1039</v>
      </c>
      <c r="F40" s="494">
        <v>83</v>
      </c>
      <c r="G40" s="494"/>
      <c r="H40" s="494"/>
      <c r="I40" s="501">
        <f>SUM(E40:H40)</f>
        <v>1122</v>
      </c>
      <c r="J40" s="5"/>
      <c r="K40" s="5"/>
    </row>
    <row r="41" spans="2:11" ht="36">
      <c r="B41" s="2422"/>
      <c r="C41" s="72"/>
      <c r="D41" s="32" t="s">
        <v>1728</v>
      </c>
      <c r="E41" s="494">
        <v>14</v>
      </c>
      <c r="F41" s="494">
        <v>6</v>
      </c>
      <c r="G41" s="494"/>
      <c r="H41" s="494"/>
      <c r="I41" s="501">
        <f>SUM(E41:H41)</f>
        <v>20</v>
      </c>
      <c r="J41" s="5"/>
      <c r="K41" s="5"/>
    </row>
    <row r="42" spans="2:11" ht="36.6" thickBot="1">
      <c r="B42" s="2422"/>
      <c r="C42" s="72"/>
      <c r="D42" s="32" t="s">
        <v>1729</v>
      </c>
      <c r="E42" s="516">
        <f>+E40/E41</f>
        <v>74.214285714285708</v>
      </c>
      <c r="F42" s="516">
        <f>+F40/F41</f>
        <v>13.833333333333334</v>
      </c>
      <c r="G42" s="516" t="e">
        <f>+G40/G41</f>
        <v>#DIV/0!</v>
      </c>
      <c r="H42" s="516" t="e">
        <f>+H40/H41</f>
        <v>#DIV/0!</v>
      </c>
      <c r="I42" s="516">
        <f>+I40/I41</f>
        <v>56.1</v>
      </c>
      <c r="J42" s="5"/>
      <c r="K42" s="5"/>
    </row>
    <row r="43" spans="2:11">
      <c r="B43" s="2422"/>
      <c r="C43" s="70"/>
      <c r="D43" s="2412"/>
      <c r="E43" s="2413"/>
      <c r="F43" s="2413"/>
      <c r="G43" s="2413"/>
      <c r="H43" s="2413"/>
      <c r="I43" s="2414"/>
      <c r="J43" s="5"/>
      <c r="K43" s="5"/>
    </row>
    <row r="44" spans="2:11" ht="15" thickBot="1">
      <c r="B44" s="2422"/>
      <c r="C44" s="70"/>
      <c r="D44" s="2674" t="s">
        <v>1730</v>
      </c>
      <c r="E44" s="2675"/>
      <c r="F44" s="2675"/>
      <c r="G44" s="2675"/>
      <c r="H44" s="2675"/>
      <c r="I44" s="2676"/>
      <c r="J44" s="5"/>
      <c r="K44" s="5"/>
    </row>
    <row r="45" spans="2:11" ht="15" thickBot="1">
      <c r="B45" s="2422"/>
      <c r="C45" s="70"/>
      <c r="D45" s="2735" t="s">
        <v>1731</v>
      </c>
      <c r="E45" s="2736"/>
      <c r="F45" s="2736"/>
      <c r="G45" s="2736"/>
      <c r="H45" s="2736"/>
      <c r="I45" s="2737"/>
      <c r="J45" s="5"/>
      <c r="K45" s="5"/>
    </row>
    <row r="46" spans="2:11" ht="15" thickBot="1">
      <c r="B46" s="2422"/>
      <c r="C46" s="72"/>
      <c r="D46" s="34" t="s">
        <v>904</v>
      </c>
      <c r="E46" s="68" t="s">
        <v>784</v>
      </c>
      <c r="F46" s="68" t="s">
        <v>593</v>
      </c>
      <c r="G46" s="30" t="s">
        <v>594</v>
      </c>
      <c r="H46" s="30" t="s">
        <v>595</v>
      </c>
      <c r="I46" s="68" t="s">
        <v>905</v>
      </c>
      <c r="J46" s="5"/>
      <c r="K46" s="5"/>
    </row>
    <row r="47" spans="2:11" ht="36.6" thickBot="1">
      <c r="B47" s="2422"/>
      <c r="C47" s="72"/>
      <c r="D47" s="32" t="s">
        <v>1732</v>
      </c>
      <c r="E47" s="494">
        <v>612</v>
      </c>
      <c r="F47" s="494">
        <v>113</v>
      </c>
      <c r="G47" s="494"/>
      <c r="H47" s="494"/>
      <c r="I47" s="501">
        <f>SUM(E47:H47)</f>
        <v>725</v>
      </c>
      <c r="J47" s="5"/>
      <c r="K47" s="5"/>
    </row>
    <row r="48" spans="2:11" ht="24.6" thickBot="1">
      <c r="B48" s="2422"/>
      <c r="C48" s="72"/>
      <c r="D48" s="32" t="s">
        <v>1733</v>
      </c>
      <c r="E48" s="494">
        <v>23</v>
      </c>
      <c r="F48" s="494">
        <v>4</v>
      </c>
      <c r="G48" s="494"/>
      <c r="H48" s="494"/>
      <c r="I48" s="501">
        <f>SUM(E48:H48)</f>
        <v>27</v>
      </c>
      <c r="J48" s="5"/>
      <c r="K48" s="5"/>
    </row>
    <row r="49" spans="2:11" ht="36.6" thickBot="1">
      <c r="B49" s="2423"/>
      <c r="C49" s="2"/>
      <c r="D49" s="32" t="s">
        <v>1734</v>
      </c>
      <c r="E49" s="516">
        <f>+E47/E48</f>
        <v>26.608695652173914</v>
      </c>
      <c r="F49" s="516">
        <f>+F47/F48</f>
        <v>28.25</v>
      </c>
      <c r="G49" s="516" t="e">
        <f>+G47/G48</f>
        <v>#DIV/0!</v>
      </c>
      <c r="H49" s="516" t="e">
        <f>+H47/H48</f>
        <v>#DIV/0!</v>
      </c>
      <c r="I49" s="516">
        <f>+I47/I48</f>
        <v>26.851851851851851</v>
      </c>
      <c r="J49" s="5"/>
      <c r="K49" s="5"/>
    </row>
    <row r="50" spans="2:11" ht="15" thickBot="1">
      <c r="C50"/>
      <c r="E50" s="306"/>
      <c r="F50" s="461"/>
      <c r="G50" s="306"/>
      <c r="H50" s="306"/>
      <c r="I50" s="306"/>
    </row>
    <row r="51" spans="2:11" ht="24.6" thickBot="1">
      <c r="C51"/>
      <c r="D51" s="42" t="s">
        <v>1735</v>
      </c>
      <c r="E51" s="42" t="s">
        <v>1736</v>
      </c>
      <c r="F51" s="154" t="s">
        <v>1737</v>
      </c>
      <c r="G51" s="256" t="s">
        <v>1738</v>
      </c>
      <c r="I51"/>
    </row>
    <row r="52" spans="2:11" ht="15" thickBot="1">
      <c r="C52"/>
      <c r="D52" s="42" t="str">
        <f>+D16</f>
        <v>Licencias ambientales</v>
      </c>
      <c r="E52" s="516">
        <f>+E21</f>
        <v>120.66666666666667</v>
      </c>
      <c r="F52" s="517">
        <v>90</v>
      </c>
      <c r="G52" s="475">
        <f>IF(F52/E52&gt;1,1,F52/E52)</f>
        <v>0.7458563535911602</v>
      </c>
      <c r="I52"/>
    </row>
    <row r="53" spans="2:11" ht="15" thickBot="1">
      <c r="C53"/>
      <c r="D53" s="42" t="str">
        <f>+D23</f>
        <v>Concesiones de agua</v>
      </c>
      <c r="E53" s="516">
        <f>+E28</f>
        <v>107.14285714285714</v>
      </c>
      <c r="F53" s="818">
        <v>90</v>
      </c>
      <c r="G53" s="475">
        <f>IF(F53/E53&gt;1,1,F53/E53)</f>
        <v>0.84000000000000008</v>
      </c>
      <c r="I53"/>
    </row>
    <row r="54" spans="2:11" ht="15" thickBot="1">
      <c r="C54"/>
      <c r="D54" s="42" t="str">
        <f>+D30</f>
        <v>Permisos de vertimiento de agua</v>
      </c>
      <c r="E54" s="516">
        <f>+E35</f>
        <v>60</v>
      </c>
      <c r="F54" s="517">
        <v>68</v>
      </c>
      <c r="G54" s="475">
        <f>IF(F54/E54&gt;1,1,F54/E54)</f>
        <v>1</v>
      </c>
      <c r="I54"/>
    </row>
    <row r="55" spans="2:11" ht="15" thickBot="1">
      <c r="C55"/>
      <c r="D55" s="42" t="str">
        <f>+D37</f>
        <v>Permisos de aprovechamiento forestal</v>
      </c>
      <c r="E55" s="516">
        <f>+E42</f>
        <v>74.214285714285708</v>
      </c>
      <c r="F55" s="517">
        <v>60</v>
      </c>
      <c r="G55" s="475">
        <f>IF(F55/E55&gt;1,1,F55/E55)</f>
        <v>0.80846968238691053</v>
      </c>
      <c r="I55"/>
    </row>
    <row r="56" spans="2:11" ht="15" thickBot="1">
      <c r="C56"/>
      <c r="D56" s="42" t="str">
        <f>+D44</f>
        <v>Permisos de emisiones atmosféricas</v>
      </c>
      <c r="E56" s="516">
        <f>+E49</f>
        <v>26.608695652173914</v>
      </c>
      <c r="F56" s="818">
        <v>120</v>
      </c>
      <c r="G56" s="475">
        <f>IF(F56/E56&gt;1,1,F56/E56)</f>
        <v>1</v>
      </c>
      <c r="I56"/>
    </row>
    <row r="57" spans="2:11" ht="24.6" thickBot="1">
      <c r="C57"/>
      <c r="D57" s="42" t="s">
        <v>1739</v>
      </c>
      <c r="E57" s="516">
        <f>AVERAGE(E52:E56)</f>
        <v>77.726501035196691</v>
      </c>
      <c r="F57" s="516">
        <f>AVERAGE(F52:F56)</f>
        <v>85.6</v>
      </c>
      <c r="G57" s="475">
        <f>AVERAGE(G52:G56)</f>
        <v>0.87886520719561434</v>
      </c>
      <c r="I57"/>
    </row>
    <row r="58" spans="2:11">
      <c r="C58"/>
      <c r="I58"/>
    </row>
    <row r="59" spans="2:11" ht="15" thickBot="1">
      <c r="C59"/>
      <c r="I59"/>
    </row>
    <row r="60" spans="2:11" ht="60" customHeight="1" thickBot="1">
      <c r="B60" s="42" t="s">
        <v>803</v>
      </c>
      <c r="C60" s="154"/>
      <c r="D60" s="2424" t="s">
        <v>1740</v>
      </c>
      <c r="E60" s="2425"/>
      <c r="F60" s="2425"/>
      <c r="G60" s="2425"/>
      <c r="H60" s="2425"/>
      <c r="I60" s="2426"/>
      <c r="J60" s="5"/>
      <c r="K60" s="5"/>
    </row>
    <row r="61" spans="2:11" ht="36" customHeight="1" thickBot="1">
      <c r="B61" s="37" t="s">
        <v>805</v>
      </c>
      <c r="C61" s="71"/>
      <c r="D61" s="2424" t="s">
        <v>913</v>
      </c>
      <c r="E61" s="2425"/>
      <c r="F61" s="2425"/>
      <c r="G61" s="2425"/>
      <c r="H61" s="2425"/>
      <c r="I61" s="2426"/>
      <c r="J61" s="5"/>
      <c r="K61" s="5"/>
    </row>
    <row r="62" spans="2:11" ht="15" thickBot="1">
      <c r="B62" s="1"/>
      <c r="C62" s="63"/>
      <c r="D62" s="5"/>
      <c r="E62" s="5"/>
      <c r="F62" s="65"/>
      <c r="G62" s="5"/>
      <c r="H62" s="5"/>
      <c r="I62" s="65"/>
      <c r="J62" s="5"/>
      <c r="K62" s="5"/>
    </row>
    <row r="63" spans="2:11" ht="24" customHeight="1" thickBot="1">
      <c r="B63" s="2431" t="s">
        <v>807</v>
      </c>
      <c r="C63" s="2432"/>
      <c r="D63" s="2432"/>
      <c r="E63" s="2433"/>
      <c r="F63" s="65"/>
      <c r="G63" s="5"/>
      <c r="H63" s="5"/>
      <c r="I63" s="65"/>
      <c r="J63" s="5"/>
      <c r="K63" s="5"/>
    </row>
    <row r="64" spans="2:11" ht="27.75" customHeight="1" thickBot="1">
      <c r="B64" s="2421">
        <v>1</v>
      </c>
      <c r="C64" s="72"/>
      <c r="D64" s="38" t="s">
        <v>808</v>
      </c>
      <c r="E64" s="952" t="s">
        <v>809</v>
      </c>
      <c r="F64" s="65"/>
      <c r="G64" s="5"/>
      <c r="H64" s="5"/>
      <c r="I64" s="65"/>
      <c r="J64" s="5"/>
      <c r="K64" s="5"/>
    </row>
    <row r="65" spans="2:11" ht="15" thickBot="1">
      <c r="B65" s="2422"/>
      <c r="C65" s="72"/>
      <c r="D65" s="32" t="s">
        <v>528</v>
      </c>
      <c r="E65" s="205" t="s">
        <v>1741</v>
      </c>
      <c r="F65" s="65"/>
      <c r="G65" s="5"/>
      <c r="H65" s="5"/>
      <c r="I65" s="65"/>
      <c r="J65" s="5"/>
      <c r="K65" s="5"/>
    </row>
    <row r="66" spans="2:11" ht="15" thickBot="1">
      <c r="B66" s="2422"/>
      <c r="C66" s="72"/>
      <c r="D66" s="32" t="s">
        <v>811</v>
      </c>
      <c r="E66" s="205" t="s">
        <v>985</v>
      </c>
      <c r="F66" s="65"/>
      <c r="G66" s="5"/>
      <c r="H66" s="5"/>
      <c r="I66" s="65"/>
      <c r="J66" s="5"/>
      <c r="K66" s="5"/>
    </row>
    <row r="67" spans="2:11" ht="15" thickBot="1">
      <c r="B67" s="2422"/>
      <c r="C67" s="72"/>
      <c r="D67" s="32" t="s">
        <v>531</v>
      </c>
      <c r="E67" s="205" t="s">
        <v>986</v>
      </c>
      <c r="F67" s="65"/>
      <c r="G67" s="5"/>
      <c r="H67" s="5"/>
      <c r="I67" s="65"/>
      <c r="J67" s="5"/>
      <c r="K67" s="5"/>
    </row>
    <row r="68" spans="2:11" ht="29.4" thickBot="1">
      <c r="B68" s="2422"/>
      <c r="C68" s="72"/>
      <c r="D68" s="32" t="s">
        <v>534</v>
      </c>
      <c r="E68" s="695" t="s">
        <v>987</v>
      </c>
      <c r="F68" s="65"/>
      <c r="G68" s="5"/>
      <c r="H68" s="5"/>
      <c r="I68" s="65"/>
      <c r="J68" s="5"/>
      <c r="K68" s="5"/>
    </row>
    <row r="69" spans="2:11" ht="15" thickBot="1">
      <c r="B69" s="2422"/>
      <c r="C69" s="72"/>
      <c r="D69" s="32" t="s">
        <v>537</v>
      </c>
      <c r="E69" s="205" t="s">
        <v>1742</v>
      </c>
      <c r="F69" s="65"/>
      <c r="G69" s="5"/>
      <c r="H69" s="5"/>
      <c r="I69" s="65"/>
      <c r="J69" s="5"/>
      <c r="K69" s="5"/>
    </row>
    <row r="70" spans="2:11" ht="15" thickBot="1">
      <c r="B70" s="2423"/>
      <c r="C70" s="2"/>
      <c r="D70" s="32" t="s">
        <v>815</v>
      </c>
      <c r="E70" s="537" t="s">
        <v>816</v>
      </c>
      <c r="F70" s="65"/>
      <c r="G70" s="5"/>
      <c r="H70" s="5"/>
      <c r="I70" s="65"/>
      <c r="J70" s="5"/>
      <c r="K70" s="5"/>
    </row>
    <row r="71" spans="2:11" ht="15" thickBot="1">
      <c r="B71" s="1"/>
      <c r="C71" s="63"/>
      <c r="D71" s="5"/>
      <c r="E71" s="5"/>
      <c r="F71" s="65"/>
      <c r="G71" s="5"/>
      <c r="H71" s="5"/>
      <c r="I71" s="65"/>
      <c r="J71" s="5"/>
      <c r="K71" s="5"/>
    </row>
    <row r="72" spans="2:11" ht="15" thickBot="1">
      <c r="B72" s="2431" t="s">
        <v>817</v>
      </c>
      <c r="C72" s="2432"/>
      <c r="D72" s="2432"/>
      <c r="E72" s="2433"/>
      <c r="F72" s="65"/>
      <c r="G72" s="5"/>
      <c r="H72" s="5"/>
      <c r="I72" s="65"/>
      <c r="J72" s="5"/>
      <c r="K72" s="5"/>
    </row>
    <row r="73" spans="2:11" ht="36" customHeight="1" thickBot="1">
      <c r="B73" s="2421">
        <v>1</v>
      </c>
      <c r="C73" s="72"/>
      <c r="D73" s="38" t="s">
        <v>808</v>
      </c>
      <c r="E73" s="42" t="s">
        <v>818</v>
      </c>
      <c r="F73" s="65"/>
      <c r="G73" s="5"/>
      <c r="H73" s="5"/>
      <c r="I73" s="65"/>
      <c r="J73" s="5"/>
      <c r="K73" s="5"/>
    </row>
    <row r="74" spans="2:11" ht="36.6" thickBot="1">
      <c r="B74" s="2422"/>
      <c r="C74" s="72"/>
      <c r="D74" s="32" t="s">
        <v>528</v>
      </c>
      <c r="E74" s="42" t="s">
        <v>916</v>
      </c>
      <c r="F74" s="65"/>
      <c r="G74" s="5"/>
      <c r="H74" s="5"/>
      <c r="I74" s="65"/>
      <c r="J74" s="5"/>
      <c r="K74" s="5"/>
    </row>
    <row r="75" spans="2:11" ht="15" thickBot="1">
      <c r="B75" s="2422"/>
      <c r="C75" s="72"/>
      <c r="D75" s="32" t="s">
        <v>811</v>
      </c>
      <c r="E75" s="139"/>
      <c r="F75" s="65"/>
      <c r="G75" s="5"/>
      <c r="H75" s="5"/>
      <c r="I75" s="65"/>
      <c r="J75" s="5"/>
      <c r="K75" s="5"/>
    </row>
    <row r="76" spans="2:11" ht="15" thickBot="1">
      <c r="B76" s="2422"/>
      <c r="C76" s="72"/>
      <c r="D76" s="32" t="s">
        <v>531</v>
      </c>
      <c r="E76" s="139"/>
      <c r="F76" s="65"/>
      <c r="G76" s="5"/>
      <c r="H76" s="5"/>
      <c r="I76" s="65"/>
      <c r="J76" s="5"/>
      <c r="K76" s="5"/>
    </row>
    <row r="77" spans="2:11" ht="15" thickBot="1">
      <c r="B77" s="2422"/>
      <c r="C77" s="72"/>
      <c r="D77" s="32" t="s">
        <v>534</v>
      </c>
      <c r="E77" s="139"/>
      <c r="F77" s="65"/>
      <c r="G77" s="5"/>
      <c r="H77" s="5"/>
      <c r="I77" s="65"/>
      <c r="J77" s="5"/>
      <c r="K77" s="5"/>
    </row>
    <row r="78" spans="2:11" ht="15" thickBot="1">
      <c r="B78" s="2422"/>
      <c r="C78" s="72"/>
      <c r="D78" s="32" t="s">
        <v>537</v>
      </c>
      <c r="E78" s="139"/>
      <c r="F78" s="65"/>
      <c r="G78" s="5"/>
      <c r="H78" s="5"/>
      <c r="I78" s="65"/>
      <c r="J78" s="5"/>
      <c r="K78" s="5"/>
    </row>
    <row r="79" spans="2:11" ht="15" thickBot="1">
      <c r="B79" s="2423"/>
      <c r="C79" s="2"/>
      <c r="D79" s="32" t="s">
        <v>815</v>
      </c>
      <c r="E79" s="139"/>
      <c r="F79" s="65"/>
      <c r="G79" s="5"/>
      <c r="H79" s="5"/>
      <c r="I79" s="65"/>
      <c r="J79" s="5"/>
      <c r="K79" s="5"/>
    </row>
    <row r="80" spans="2:11" ht="15" thickBot="1">
      <c r="B80" s="1"/>
      <c r="C80" s="63"/>
      <c r="D80" s="5"/>
      <c r="E80" s="5"/>
      <c r="F80" s="65"/>
      <c r="G80" s="5"/>
      <c r="H80" s="5"/>
      <c r="I80" s="65"/>
      <c r="J80" s="5"/>
      <c r="K80" s="5"/>
    </row>
    <row r="81" spans="2:11" ht="15" customHeight="1" thickBot="1">
      <c r="B81" s="96" t="s">
        <v>820</v>
      </c>
      <c r="C81" s="97"/>
      <c r="D81" s="97"/>
      <c r="E81" s="98"/>
      <c r="G81" s="5"/>
      <c r="H81" s="5"/>
      <c r="I81" s="65"/>
      <c r="J81" s="5"/>
      <c r="K81" s="5"/>
    </row>
    <row r="82" spans="2:11" ht="24.6" thickBot="1">
      <c r="B82" s="37" t="s">
        <v>821</v>
      </c>
      <c r="C82" s="32" t="s">
        <v>822</v>
      </c>
      <c r="D82" s="32" t="s">
        <v>823</v>
      </c>
      <c r="E82" s="32" t="s">
        <v>824</v>
      </c>
      <c r="F82" s="65"/>
      <c r="G82" s="5"/>
      <c r="H82" s="5"/>
      <c r="I82" s="65"/>
      <c r="J82" s="5"/>
    </row>
    <row r="83" spans="2:11" ht="72.599999999999994" thickBot="1">
      <c r="B83" s="39">
        <v>42401</v>
      </c>
      <c r="C83" s="32">
        <v>0.01</v>
      </c>
      <c r="D83" s="40" t="s">
        <v>1743</v>
      </c>
      <c r="E83" s="32"/>
      <c r="F83" s="65"/>
      <c r="G83" s="5"/>
      <c r="H83" s="5"/>
      <c r="I83" s="65"/>
      <c r="J83" s="5"/>
    </row>
    <row r="84" spans="2:11" ht="15" thickBot="1">
      <c r="B84" s="1"/>
      <c r="C84" s="63"/>
      <c r="D84" s="5"/>
      <c r="E84" s="5"/>
      <c r="F84" s="65"/>
      <c r="G84" s="5"/>
      <c r="H84" s="5"/>
      <c r="I84" s="65"/>
      <c r="J84" s="5"/>
      <c r="K84" s="5"/>
    </row>
    <row r="85" spans="2:11" ht="15" thickBot="1">
      <c r="B85" s="105" t="s">
        <v>702</v>
      </c>
      <c r="C85" s="74"/>
      <c r="D85" s="5"/>
      <c r="E85" s="5"/>
      <c r="F85" s="65"/>
      <c r="G85" s="5"/>
      <c r="H85" s="5"/>
      <c r="I85" s="65"/>
      <c r="J85" s="5"/>
      <c r="K85" s="5"/>
    </row>
    <row r="86" spans="2:11" ht="15" thickBot="1">
      <c r="B86" s="2726"/>
      <c r="C86" s="2727"/>
      <c r="D86" s="2728"/>
      <c r="E86" s="5"/>
      <c r="F86" s="65"/>
      <c r="G86" s="5"/>
      <c r="H86" s="5"/>
      <c r="I86" s="65"/>
      <c r="J86" s="5"/>
      <c r="K86" s="5"/>
    </row>
    <row r="87" spans="2:11" ht="15" thickBot="1">
      <c r="B87" s="5"/>
      <c r="D87" s="5"/>
      <c r="E87" s="5"/>
      <c r="F87" s="65"/>
      <c r="G87" s="5"/>
      <c r="H87" s="5"/>
      <c r="I87" s="65"/>
      <c r="J87" s="5"/>
      <c r="K87" s="5"/>
    </row>
    <row r="88" spans="2:11" ht="24.6" thickBot="1">
      <c r="B88" s="41" t="s">
        <v>826</v>
      </c>
      <c r="C88" s="75"/>
      <c r="D88" s="5"/>
      <c r="E88" s="5"/>
      <c r="F88" s="65"/>
      <c r="G88" s="5"/>
      <c r="H88" s="5"/>
      <c r="I88" s="65"/>
      <c r="J88" s="5"/>
      <c r="K88" s="5"/>
    </row>
    <row r="89" spans="2:11" ht="15" thickBot="1">
      <c r="B89" s="1"/>
      <c r="C89" s="63"/>
      <c r="D89" s="5"/>
      <c r="E89" s="5"/>
      <c r="F89" s="65"/>
      <c r="G89" s="5"/>
      <c r="H89" s="5"/>
      <c r="I89" s="65"/>
      <c r="J89" s="5"/>
      <c r="K89" s="5"/>
    </row>
    <row r="90" spans="2:11" ht="108">
      <c r="B90" s="2421" t="s">
        <v>827</v>
      </c>
      <c r="C90" s="83"/>
      <c r="D90" s="53" t="s">
        <v>1744</v>
      </c>
      <c r="E90" s="5"/>
      <c r="F90" s="65"/>
      <c r="G90" s="5"/>
      <c r="H90" s="5"/>
      <c r="I90" s="65"/>
      <c r="J90" s="5"/>
      <c r="K90" s="5"/>
    </row>
    <row r="91" spans="2:11" ht="96.6" thickBot="1">
      <c r="B91" s="2423"/>
      <c r="C91" s="2"/>
      <c r="D91" s="32" t="s">
        <v>1745</v>
      </c>
      <c r="E91" s="5"/>
      <c r="F91" s="65"/>
      <c r="G91" s="5"/>
      <c r="H91" s="5"/>
      <c r="I91" s="65"/>
      <c r="J91" s="5"/>
      <c r="K91" s="5"/>
    </row>
    <row r="92" spans="2:11">
      <c r="B92" s="2421" t="s">
        <v>829</v>
      </c>
      <c r="C92" s="72"/>
      <c r="D92" s="43" t="s">
        <v>830</v>
      </c>
      <c r="E92" s="5"/>
      <c r="F92" s="65"/>
      <c r="G92" s="5"/>
      <c r="H92" s="5"/>
      <c r="I92" s="65"/>
      <c r="J92" s="5"/>
      <c r="K92" s="5"/>
    </row>
    <row r="93" spans="2:11" ht="84">
      <c r="B93" s="2422"/>
      <c r="C93" s="72"/>
      <c r="D93" s="36" t="s">
        <v>1746</v>
      </c>
      <c r="E93" s="5"/>
      <c r="F93" s="65"/>
      <c r="G93" s="5"/>
      <c r="H93" s="5"/>
      <c r="I93" s="65"/>
      <c r="J93" s="5"/>
      <c r="K93" s="5"/>
    </row>
    <row r="94" spans="2:11">
      <c r="B94" s="2422"/>
      <c r="C94" s="72"/>
      <c r="D94" s="43" t="s">
        <v>920</v>
      </c>
      <c r="E94" s="5"/>
      <c r="F94" s="65"/>
      <c r="G94" s="5"/>
      <c r="H94" s="5"/>
      <c r="I94" s="65"/>
      <c r="J94" s="5"/>
      <c r="K94" s="5"/>
    </row>
    <row r="95" spans="2:11">
      <c r="B95" s="2422"/>
      <c r="C95" s="72"/>
      <c r="D95" s="36" t="s">
        <v>834</v>
      </c>
      <c r="E95" s="5"/>
      <c r="F95" s="65"/>
      <c r="G95" s="5"/>
      <c r="H95" s="5"/>
      <c r="I95" s="65"/>
      <c r="J95" s="5"/>
      <c r="K95" s="5"/>
    </row>
    <row r="96" spans="2:11">
      <c r="B96" s="2422"/>
      <c r="C96" s="72"/>
      <c r="D96" s="36" t="s">
        <v>835</v>
      </c>
      <c r="E96" s="5"/>
      <c r="F96" s="65"/>
      <c r="G96" s="5"/>
      <c r="H96" s="5"/>
      <c r="I96" s="65"/>
      <c r="J96" s="5"/>
      <c r="K96" s="5"/>
    </row>
    <row r="97" spans="2:11">
      <c r="B97" s="2422"/>
      <c r="C97" s="72"/>
      <c r="D97" s="36" t="s">
        <v>1747</v>
      </c>
      <c r="E97" s="5"/>
      <c r="F97" s="65"/>
      <c r="G97" s="5"/>
      <c r="H97" s="5"/>
      <c r="I97" s="65"/>
      <c r="J97" s="5"/>
      <c r="K97" s="5"/>
    </row>
    <row r="98" spans="2:11">
      <c r="B98" s="2422"/>
      <c r="C98" s="72"/>
      <c r="D98" s="36" t="s">
        <v>1748</v>
      </c>
      <c r="E98" s="5"/>
      <c r="F98" s="65"/>
      <c r="G98" s="5"/>
      <c r="H98" s="5"/>
      <c r="I98" s="65"/>
      <c r="J98" s="5"/>
      <c r="K98" s="5"/>
    </row>
    <row r="99" spans="2:11" ht="24">
      <c r="B99" s="2422"/>
      <c r="C99" s="72"/>
      <c r="D99" s="36" t="s">
        <v>1749</v>
      </c>
      <c r="E99" s="5"/>
      <c r="F99" s="65"/>
      <c r="G99" s="5"/>
      <c r="H99" s="5"/>
      <c r="I99" s="65"/>
      <c r="J99" s="5"/>
      <c r="K99" s="5"/>
    </row>
    <row r="100" spans="2:11" ht="24">
      <c r="B100" s="2422"/>
      <c r="C100" s="72"/>
      <c r="D100" s="36" t="s">
        <v>1750</v>
      </c>
      <c r="E100" s="5"/>
      <c r="F100" s="65"/>
      <c r="G100" s="5"/>
      <c r="H100" s="5"/>
      <c r="I100" s="65"/>
      <c r="J100" s="5"/>
      <c r="K100" s="5"/>
    </row>
    <row r="101" spans="2:11" ht="48">
      <c r="B101" s="2422"/>
      <c r="C101" s="72"/>
      <c r="D101" s="36" t="s">
        <v>1751</v>
      </c>
      <c r="E101" s="5"/>
      <c r="F101" s="65"/>
      <c r="G101" s="5"/>
      <c r="H101" s="5"/>
      <c r="I101" s="65"/>
      <c r="J101" s="5"/>
      <c r="K101" s="5"/>
    </row>
    <row r="102" spans="2:11" ht="36.6" thickBot="1">
      <c r="B102" s="2423"/>
      <c r="C102" s="2"/>
      <c r="D102" s="32" t="s">
        <v>1752</v>
      </c>
      <c r="E102" s="5"/>
      <c r="F102" s="65"/>
      <c r="G102" s="5"/>
      <c r="H102" s="5"/>
      <c r="I102" s="65"/>
      <c r="J102" s="5"/>
      <c r="K102" s="5"/>
    </row>
    <row r="103" spans="2:11" ht="24.6" thickBot="1">
      <c r="B103" s="37" t="s">
        <v>842</v>
      </c>
      <c r="C103" s="2"/>
      <c r="D103" s="32"/>
      <c r="E103" s="5"/>
      <c r="F103" s="65"/>
      <c r="G103" s="5"/>
      <c r="H103" s="5"/>
      <c r="I103" s="65"/>
      <c r="J103" s="5"/>
      <c r="K103" s="5"/>
    </row>
    <row r="104" spans="2:11" ht="216">
      <c r="B104" s="2421" t="s">
        <v>843</v>
      </c>
      <c r="C104" s="72"/>
      <c r="D104" s="36" t="s">
        <v>1753</v>
      </c>
      <c r="E104" s="5"/>
      <c r="F104" s="65"/>
      <c r="G104" s="5"/>
      <c r="H104" s="5"/>
      <c r="I104" s="65"/>
      <c r="J104" s="5"/>
      <c r="K104" s="5"/>
    </row>
    <row r="105" spans="2:11" ht="60">
      <c r="B105" s="2422"/>
      <c r="C105" s="72"/>
      <c r="D105" s="36" t="s">
        <v>1754</v>
      </c>
      <c r="E105" s="5"/>
      <c r="F105" s="65"/>
      <c r="G105" s="5"/>
      <c r="H105" s="5"/>
      <c r="I105" s="65"/>
      <c r="J105" s="5"/>
      <c r="K105" s="5"/>
    </row>
    <row r="106" spans="2:11" ht="60">
      <c r="B106" s="2422"/>
      <c r="C106" s="72"/>
      <c r="D106" s="36" t="s">
        <v>1755</v>
      </c>
      <c r="E106" s="5"/>
      <c r="F106" s="65"/>
      <c r="G106" s="5"/>
      <c r="H106" s="5"/>
      <c r="I106" s="65"/>
      <c r="J106" s="5"/>
      <c r="K106" s="5"/>
    </row>
    <row r="107" spans="2:11" ht="120">
      <c r="B107" s="2422"/>
      <c r="C107" s="72"/>
      <c r="D107" s="36" t="s">
        <v>1756</v>
      </c>
      <c r="E107" s="5"/>
      <c r="F107" s="65"/>
      <c r="G107" s="5"/>
      <c r="H107" s="5"/>
      <c r="I107" s="65"/>
      <c r="J107" s="5"/>
      <c r="K107" s="5"/>
    </row>
    <row r="108" spans="2:11" ht="144">
      <c r="B108" s="2422"/>
      <c r="C108" s="72"/>
      <c r="D108" s="36" t="s">
        <v>1757</v>
      </c>
      <c r="E108" s="5"/>
      <c r="F108" s="65"/>
      <c r="G108" s="5"/>
      <c r="H108" s="5"/>
      <c r="I108" s="65"/>
      <c r="J108" s="5"/>
      <c r="K108" s="5"/>
    </row>
    <row r="109" spans="2:11" ht="84">
      <c r="B109" s="2422"/>
      <c r="C109" s="72"/>
      <c r="D109" s="36" t="s">
        <v>1758</v>
      </c>
      <c r="E109" s="5"/>
      <c r="F109" s="65"/>
      <c r="G109" s="5"/>
      <c r="H109" s="5"/>
      <c r="I109" s="65"/>
      <c r="J109" s="5"/>
      <c r="K109" s="5"/>
    </row>
    <row r="110" spans="2:11" ht="48.6" thickBot="1">
      <c r="B110" s="2423"/>
      <c r="C110" s="2"/>
      <c r="D110" s="32" t="s">
        <v>1759</v>
      </c>
      <c r="E110" s="5"/>
      <c r="F110" s="65"/>
      <c r="G110" s="5"/>
      <c r="H110" s="5"/>
      <c r="I110" s="65"/>
      <c r="J110" s="5"/>
      <c r="K110" s="5"/>
    </row>
    <row r="111" spans="2:11" ht="36">
      <c r="B111" s="2421" t="s">
        <v>860</v>
      </c>
      <c r="C111" s="72"/>
      <c r="D111" s="43" t="s">
        <v>30</v>
      </c>
      <c r="E111" s="5"/>
      <c r="F111" s="65"/>
      <c r="G111" s="5"/>
      <c r="H111" s="5"/>
      <c r="I111" s="65"/>
      <c r="J111" s="5"/>
      <c r="K111" s="5"/>
    </row>
    <row r="112" spans="2:11">
      <c r="B112" s="2422"/>
      <c r="C112" s="72"/>
      <c r="D112" s="13"/>
      <c r="E112" s="5"/>
      <c r="F112" s="65"/>
      <c r="G112" s="5"/>
      <c r="H112" s="5"/>
      <c r="I112" s="65"/>
      <c r="J112" s="5"/>
      <c r="K112" s="5"/>
    </row>
    <row r="113" spans="2:11">
      <c r="B113" s="2422"/>
      <c r="C113" s="72"/>
      <c r="D113" s="36" t="s">
        <v>861</v>
      </c>
      <c r="E113" s="5"/>
      <c r="F113" s="65"/>
      <c r="G113" s="5"/>
      <c r="H113" s="5"/>
      <c r="I113" s="65"/>
      <c r="J113" s="5"/>
      <c r="K113" s="5"/>
    </row>
    <row r="114" spans="2:11" ht="24">
      <c r="B114" s="2422"/>
      <c r="C114" s="72"/>
      <c r="D114" s="36" t="s">
        <v>1760</v>
      </c>
      <c r="E114" s="5"/>
      <c r="F114" s="65"/>
      <c r="G114" s="5"/>
      <c r="H114" s="5"/>
      <c r="I114" s="65"/>
      <c r="J114" s="5"/>
      <c r="K114" s="5"/>
    </row>
    <row r="115" spans="2:11" ht="24">
      <c r="B115" s="2422"/>
      <c r="C115" s="72"/>
      <c r="D115" s="36" t="s">
        <v>1761</v>
      </c>
      <c r="E115" s="5"/>
      <c r="F115" s="65"/>
      <c r="G115" s="5"/>
      <c r="H115" s="5"/>
      <c r="I115" s="65"/>
      <c r="J115" s="5"/>
      <c r="K115" s="5"/>
    </row>
    <row r="116" spans="2:11" ht="48">
      <c r="B116" s="2422"/>
      <c r="C116" s="72"/>
      <c r="D116" s="36" t="s">
        <v>1762</v>
      </c>
      <c r="E116" s="5"/>
      <c r="F116" s="65"/>
      <c r="G116" s="5"/>
      <c r="H116" s="5"/>
      <c r="I116" s="65"/>
      <c r="J116" s="5"/>
      <c r="K116" s="5"/>
    </row>
    <row r="117" spans="2:11" ht="60">
      <c r="B117" s="2422"/>
      <c r="C117" s="72"/>
      <c r="D117" s="36" t="s">
        <v>1763</v>
      </c>
      <c r="E117" s="5"/>
      <c r="F117" s="65"/>
      <c r="G117" s="5"/>
      <c r="H117" s="5"/>
      <c r="I117" s="65"/>
      <c r="J117" s="5"/>
      <c r="K117" s="5"/>
    </row>
    <row r="118" spans="2:11" ht="60">
      <c r="B118" s="2422"/>
      <c r="C118" s="72"/>
      <c r="D118" s="48" t="s">
        <v>1764</v>
      </c>
      <c r="E118" s="5"/>
      <c r="F118" s="65"/>
      <c r="G118" s="5"/>
      <c r="H118" s="5"/>
      <c r="I118" s="65"/>
      <c r="J118" s="5"/>
      <c r="K118" s="5"/>
    </row>
    <row r="119" spans="2:11" ht="24">
      <c r="B119" s="2422"/>
      <c r="C119" s="72"/>
      <c r="D119" s="36" t="s">
        <v>1765</v>
      </c>
      <c r="E119" s="5"/>
      <c r="F119" s="65"/>
      <c r="G119" s="5"/>
      <c r="H119" s="5"/>
      <c r="I119" s="65"/>
      <c r="J119" s="5"/>
      <c r="K119" s="5"/>
    </row>
    <row r="120" spans="2:11" ht="24">
      <c r="B120" s="2422"/>
      <c r="C120" s="72"/>
      <c r="D120" s="36" t="s">
        <v>1766</v>
      </c>
      <c r="E120" s="5"/>
      <c r="F120" s="65"/>
      <c r="G120" s="5"/>
      <c r="H120" s="5"/>
      <c r="I120" s="65"/>
      <c r="J120" s="5"/>
      <c r="K120" s="5"/>
    </row>
    <row r="121" spans="2:11" ht="24">
      <c r="B121" s="2422"/>
      <c r="C121" s="72"/>
      <c r="D121" s="36" t="s">
        <v>1767</v>
      </c>
      <c r="E121" s="5"/>
      <c r="F121" s="65"/>
      <c r="G121" s="5"/>
      <c r="H121" s="5"/>
      <c r="I121" s="65"/>
      <c r="J121" s="5"/>
      <c r="K121" s="5"/>
    </row>
    <row r="122" spans="2:11" ht="36">
      <c r="B122" s="2422"/>
      <c r="C122" s="72"/>
      <c r="D122" s="36" t="s">
        <v>1768</v>
      </c>
      <c r="E122" s="5"/>
      <c r="F122" s="65"/>
      <c r="G122" s="5"/>
      <c r="H122" s="5"/>
      <c r="I122" s="65"/>
      <c r="J122" s="5"/>
      <c r="K122" s="5"/>
    </row>
    <row r="123" spans="2:11" ht="24.6" thickBot="1">
      <c r="B123" s="2423"/>
      <c r="C123" s="2"/>
      <c r="D123" s="32" t="s">
        <v>1769</v>
      </c>
      <c r="E123" s="5"/>
      <c r="F123" s="65"/>
      <c r="G123" s="5"/>
      <c r="H123" s="5"/>
      <c r="I123" s="65"/>
      <c r="J123" s="5"/>
      <c r="K123" s="5"/>
    </row>
    <row r="124" spans="2:11">
      <c r="B124" s="5"/>
      <c r="D124" s="5"/>
      <c r="E124" s="5"/>
      <c r="F124" s="65"/>
      <c r="G124" s="5"/>
      <c r="H124" s="5"/>
      <c r="I124" s="65"/>
      <c r="J124" s="5"/>
      <c r="K124" s="5"/>
    </row>
    <row r="125" spans="2:11">
      <c r="B125" s="5"/>
      <c r="D125" s="5"/>
      <c r="E125" s="5"/>
      <c r="F125" s="65"/>
      <c r="G125" s="5"/>
      <c r="H125" s="5"/>
      <c r="I125" s="65"/>
      <c r="J125" s="5"/>
      <c r="K125" s="5"/>
    </row>
    <row r="126" spans="2:11">
      <c r="B126" s="5"/>
      <c r="D126" s="5"/>
      <c r="E126" s="5"/>
      <c r="F126" s="65"/>
      <c r="G126" s="5"/>
      <c r="H126" s="5"/>
      <c r="I126" s="65"/>
      <c r="J126" s="5"/>
      <c r="K126" s="5"/>
    </row>
    <row r="127" spans="2:11">
      <c r="B127" s="5"/>
      <c r="D127" s="5"/>
      <c r="E127" s="5"/>
      <c r="F127" s="65"/>
      <c r="G127" s="5"/>
      <c r="H127" s="5"/>
      <c r="I127" s="65"/>
      <c r="J127" s="5"/>
      <c r="K127" s="5"/>
    </row>
    <row r="128" spans="2:11">
      <c r="B128" s="5"/>
      <c r="D128" s="5"/>
      <c r="E128" s="5"/>
      <c r="F128" s="65"/>
      <c r="G128" s="5"/>
      <c r="H128" s="5"/>
      <c r="I128" s="65"/>
      <c r="J128" s="5"/>
      <c r="K128" s="5"/>
    </row>
    <row r="129" spans="2:11">
      <c r="B129" s="5"/>
      <c r="D129" s="5"/>
      <c r="E129" s="5"/>
      <c r="F129" s="65"/>
      <c r="G129" s="5"/>
      <c r="H129" s="5"/>
      <c r="I129" s="65"/>
      <c r="J129" s="5"/>
      <c r="K129" s="5"/>
    </row>
    <row r="130" spans="2:11">
      <c r="B130" s="5"/>
      <c r="D130" s="5"/>
      <c r="E130" s="5"/>
      <c r="F130" s="65"/>
      <c r="G130" s="5"/>
      <c r="H130" s="5"/>
      <c r="I130" s="65"/>
      <c r="J130" s="5"/>
      <c r="K130" s="5"/>
    </row>
    <row r="131" spans="2:11">
      <c r="B131" s="5"/>
      <c r="D131" s="5"/>
      <c r="E131" s="5"/>
      <c r="F131" s="65"/>
      <c r="G131" s="5"/>
      <c r="H131" s="5"/>
      <c r="I131" s="65"/>
      <c r="J131" s="5"/>
      <c r="K131" s="5"/>
    </row>
    <row r="132" spans="2:11">
      <c r="B132" s="5"/>
      <c r="D132" s="5"/>
      <c r="E132" s="5"/>
      <c r="F132" s="65"/>
      <c r="G132" s="5"/>
      <c r="H132" s="5"/>
      <c r="I132" s="65"/>
      <c r="J132" s="5"/>
      <c r="K132" s="5"/>
    </row>
    <row r="133" spans="2:11">
      <c r="B133" s="5"/>
      <c r="D133" s="5"/>
      <c r="E133" s="5"/>
      <c r="F133" s="65"/>
      <c r="G133" s="5"/>
      <c r="H133" s="5"/>
      <c r="I133" s="65"/>
      <c r="J133" s="5"/>
      <c r="K133" s="5"/>
    </row>
    <row r="134" spans="2:11">
      <c r="B134" s="5"/>
      <c r="D134" s="5"/>
      <c r="E134" s="5"/>
      <c r="F134" s="65"/>
      <c r="G134" s="5"/>
      <c r="H134" s="5"/>
      <c r="I134" s="65"/>
      <c r="J134" s="5"/>
      <c r="K134" s="5"/>
    </row>
    <row r="135" spans="2:11">
      <c r="B135" s="5"/>
      <c r="D135" s="5"/>
      <c r="E135" s="5"/>
      <c r="F135" s="65"/>
      <c r="G135" s="5"/>
      <c r="H135" s="5"/>
      <c r="I135" s="65"/>
      <c r="J135" s="5"/>
      <c r="K135" s="5"/>
    </row>
    <row r="136" spans="2:11">
      <c r="B136" s="5"/>
      <c r="D136" s="5"/>
      <c r="E136" s="5"/>
      <c r="F136" s="65"/>
      <c r="G136" s="5"/>
      <c r="H136" s="5"/>
      <c r="I136" s="65"/>
      <c r="J136" s="5"/>
      <c r="K136" s="5"/>
    </row>
    <row r="137" spans="2:11">
      <c r="B137" s="5"/>
      <c r="D137" s="5"/>
      <c r="E137" s="5"/>
      <c r="F137" s="65"/>
      <c r="G137" s="5"/>
      <c r="H137" s="5"/>
      <c r="I137" s="65"/>
      <c r="J137" s="5"/>
      <c r="K137" s="5"/>
    </row>
    <row r="138" spans="2:11">
      <c r="B138" s="5"/>
      <c r="D138" s="5"/>
      <c r="E138" s="5"/>
      <c r="F138" s="65"/>
      <c r="G138" s="5"/>
      <c r="H138" s="5"/>
      <c r="I138" s="65"/>
      <c r="J138" s="5"/>
      <c r="K138" s="5"/>
    </row>
    <row r="139" spans="2:11">
      <c r="B139" s="5"/>
      <c r="D139" s="5"/>
      <c r="E139" s="5"/>
      <c r="F139" s="65"/>
      <c r="G139" s="5"/>
      <c r="H139" s="5"/>
      <c r="I139" s="65"/>
      <c r="J139" s="5"/>
      <c r="K139" s="5"/>
    </row>
    <row r="140" spans="2:11">
      <c r="B140" s="5"/>
      <c r="D140" s="5"/>
      <c r="E140" s="5"/>
      <c r="F140" s="65"/>
      <c r="G140" s="5"/>
      <c r="H140" s="5"/>
      <c r="I140" s="65"/>
      <c r="J140" s="5"/>
      <c r="K140" s="5"/>
    </row>
    <row r="141" spans="2:11">
      <c r="B141" s="5"/>
      <c r="D141" s="5"/>
      <c r="E141" s="5"/>
      <c r="F141" s="65"/>
      <c r="G141" s="5"/>
      <c r="H141" s="5"/>
      <c r="I141" s="65"/>
      <c r="J141" s="5"/>
      <c r="K141" s="5"/>
    </row>
    <row r="142" spans="2:11">
      <c r="B142" s="5"/>
      <c r="D142" s="5"/>
      <c r="E142" s="5"/>
      <c r="F142" s="65"/>
      <c r="G142" s="5"/>
      <c r="H142" s="5"/>
      <c r="I142" s="65"/>
      <c r="J142" s="5"/>
      <c r="K142" s="5"/>
    </row>
    <row r="143" spans="2:11">
      <c r="B143" s="5"/>
      <c r="D143" s="5"/>
      <c r="E143" s="5"/>
      <c r="F143" s="65"/>
      <c r="G143" s="5"/>
      <c r="H143" s="5"/>
      <c r="I143" s="65"/>
      <c r="J143" s="5"/>
      <c r="K143" s="5"/>
    </row>
    <row r="144" spans="2:11">
      <c r="B144" s="5"/>
      <c r="D144" s="5"/>
      <c r="E144" s="5"/>
      <c r="F144" s="65"/>
      <c r="G144" s="5"/>
      <c r="H144" s="5"/>
      <c r="I144" s="65"/>
      <c r="J144" s="5"/>
      <c r="K144" s="5"/>
    </row>
    <row r="145" spans="2:11">
      <c r="B145" s="5"/>
      <c r="D145" s="5"/>
      <c r="E145" s="5"/>
      <c r="F145" s="65"/>
      <c r="G145" s="5"/>
      <c r="H145" s="5"/>
      <c r="I145" s="65"/>
      <c r="J145" s="5"/>
      <c r="K145" s="5"/>
    </row>
    <row r="146" spans="2:11">
      <c r="B146" s="5"/>
      <c r="D146" s="5"/>
      <c r="E146" s="5"/>
      <c r="F146" s="65"/>
      <c r="G146" s="5"/>
      <c r="H146" s="5"/>
      <c r="I146" s="65"/>
      <c r="J146" s="5"/>
      <c r="K146" s="5"/>
    </row>
    <row r="147" spans="2:11">
      <c r="B147" s="5"/>
      <c r="D147" s="5"/>
      <c r="E147" s="5"/>
      <c r="F147" s="65"/>
      <c r="G147" s="5"/>
      <c r="H147" s="5"/>
      <c r="I147" s="65"/>
      <c r="J147" s="5"/>
      <c r="K147" s="5"/>
    </row>
    <row r="148" spans="2:11">
      <c r="B148" s="5"/>
      <c r="D148" s="5"/>
      <c r="E148" s="5"/>
      <c r="F148" s="65"/>
      <c r="G148" s="5"/>
      <c r="H148" s="5"/>
      <c r="I148" s="65"/>
      <c r="J148" s="5"/>
      <c r="K148" s="5"/>
    </row>
    <row r="149" spans="2:11">
      <c r="B149" s="5"/>
      <c r="D149" s="5"/>
      <c r="E149" s="5"/>
      <c r="F149" s="65"/>
      <c r="G149" s="5"/>
      <c r="H149" s="5"/>
      <c r="I149" s="65"/>
      <c r="J149" s="5"/>
      <c r="K149" s="5"/>
    </row>
    <row r="150" spans="2:11">
      <c r="B150" s="5"/>
      <c r="D150" s="5"/>
      <c r="E150" s="5"/>
      <c r="F150" s="65"/>
      <c r="G150" s="5"/>
      <c r="H150" s="5"/>
      <c r="I150" s="65"/>
      <c r="J150" s="5"/>
      <c r="K150" s="5"/>
    </row>
    <row r="151" spans="2:11">
      <c r="B151" s="5"/>
      <c r="D151" s="5"/>
      <c r="E151" s="5"/>
      <c r="F151" s="65"/>
      <c r="G151" s="5"/>
      <c r="H151" s="5"/>
      <c r="I151" s="65"/>
      <c r="J151" s="5"/>
      <c r="K151" s="5"/>
    </row>
    <row r="152" spans="2:11">
      <c r="B152" s="5"/>
      <c r="D152" s="5"/>
      <c r="E152" s="5"/>
      <c r="F152" s="65"/>
      <c r="G152" s="5"/>
      <c r="H152" s="5"/>
      <c r="I152" s="65"/>
      <c r="J152" s="5"/>
      <c r="K152" s="5"/>
    </row>
    <row r="153" spans="2:11">
      <c r="B153" s="5"/>
      <c r="D153" s="5"/>
      <c r="E153" s="5"/>
      <c r="F153" s="65"/>
      <c r="G153" s="5"/>
      <c r="H153" s="5"/>
      <c r="I153" s="65"/>
      <c r="J153" s="5"/>
      <c r="K153" s="5"/>
    </row>
    <row r="154" spans="2:11">
      <c r="B154" s="5"/>
      <c r="D154" s="5"/>
      <c r="E154" s="5"/>
      <c r="F154" s="65"/>
      <c r="G154" s="5"/>
      <c r="H154" s="5"/>
      <c r="I154" s="65"/>
      <c r="J154" s="5"/>
      <c r="K154" s="5"/>
    </row>
    <row r="155" spans="2:11">
      <c r="B155" s="5"/>
      <c r="D155" s="5"/>
      <c r="E155" s="5"/>
      <c r="F155" s="65"/>
      <c r="G155" s="5"/>
      <c r="H155" s="5"/>
      <c r="I155" s="65"/>
      <c r="J155" s="5"/>
      <c r="K155" s="5"/>
    </row>
    <row r="156" spans="2:11">
      <c r="B156" s="5"/>
      <c r="D156" s="5"/>
      <c r="E156" s="5"/>
      <c r="F156" s="65"/>
      <c r="G156" s="5"/>
      <c r="H156" s="5"/>
      <c r="I156" s="65"/>
      <c r="J156" s="5"/>
      <c r="K156" s="5"/>
    </row>
    <row r="157" spans="2:11">
      <c r="B157" s="5"/>
      <c r="D157" s="5"/>
      <c r="E157" s="5"/>
      <c r="F157" s="65"/>
      <c r="G157" s="5"/>
      <c r="H157" s="5"/>
      <c r="I157" s="65"/>
      <c r="J157" s="5"/>
      <c r="K157" s="5"/>
    </row>
    <row r="158" spans="2:11">
      <c r="B158" s="5"/>
      <c r="D158" s="5"/>
      <c r="E158" s="5"/>
      <c r="F158" s="65"/>
      <c r="G158" s="5"/>
      <c r="H158" s="5"/>
      <c r="I158" s="65"/>
      <c r="J158" s="5"/>
      <c r="K158" s="5"/>
    </row>
    <row r="159" spans="2:11">
      <c r="B159" s="5"/>
      <c r="D159" s="5"/>
      <c r="E159" s="5"/>
      <c r="F159" s="65"/>
      <c r="G159" s="5"/>
      <c r="H159" s="5"/>
      <c r="I159" s="65"/>
      <c r="J159" s="5"/>
      <c r="K159" s="5"/>
    </row>
    <row r="160" spans="2:11">
      <c r="B160" s="5"/>
      <c r="D160" s="5"/>
      <c r="E160" s="5"/>
      <c r="F160" s="65"/>
      <c r="G160" s="5"/>
      <c r="H160" s="5"/>
      <c r="I160" s="65"/>
      <c r="J160" s="5"/>
      <c r="K160" s="5"/>
    </row>
    <row r="161" spans="2:11">
      <c r="B161" s="5"/>
      <c r="D161" s="5"/>
      <c r="E161" s="5"/>
      <c r="F161" s="65"/>
      <c r="G161" s="5"/>
      <c r="H161" s="5"/>
      <c r="I161" s="65"/>
      <c r="J161" s="5"/>
      <c r="K161" s="5"/>
    </row>
    <row r="162" spans="2:11">
      <c r="B162" s="5"/>
      <c r="D162" s="5"/>
      <c r="E162" s="5"/>
      <c r="F162" s="65"/>
      <c r="G162" s="5"/>
      <c r="H162" s="5"/>
      <c r="I162" s="65"/>
      <c r="J162" s="5"/>
      <c r="K162" s="5"/>
    </row>
    <row r="163" spans="2:11">
      <c r="B163" s="5"/>
      <c r="D163" s="5"/>
      <c r="E163" s="5"/>
      <c r="F163" s="65"/>
      <c r="G163" s="5"/>
      <c r="H163" s="5"/>
      <c r="I163" s="65"/>
      <c r="J163" s="5"/>
      <c r="K163" s="5"/>
    </row>
    <row r="164" spans="2:11">
      <c r="B164" s="5"/>
      <c r="D164" s="5"/>
      <c r="E164" s="5"/>
      <c r="F164" s="65"/>
      <c r="G164" s="5"/>
      <c r="H164" s="5"/>
      <c r="I164" s="65"/>
      <c r="J164" s="5"/>
      <c r="K164" s="5"/>
    </row>
    <row r="165" spans="2:11">
      <c r="B165" s="5"/>
      <c r="D165" s="5"/>
      <c r="E165" s="5"/>
      <c r="F165" s="65"/>
      <c r="G165" s="5"/>
      <c r="H165" s="5"/>
      <c r="I165" s="65"/>
      <c r="J165" s="5"/>
      <c r="K165" s="5"/>
    </row>
    <row r="166" spans="2:11">
      <c r="B166" s="5"/>
      <c r="D166" s="5"/>
      <c r="E166" s="5"/>
      <c r="F166" s="65"/>
      <c r="G166" s="5"/>
      <c r="H166" s="5"/>
      <c r="I166" s="65"/>
      <c r="J166" s="5"/>
      <c r="K166" s="5"/>
    </row>
    <row r="167" spans="2:11">
      <c r="B167" s="5"/>
      <c r="D167" s="5"/>
      <c r="E167" s="5"/>
      <c r="F167" s="65"/>
      <c r="G167" s="5"/>
      <c r="H167" s="5"/>
      <c r="I167" s="65"/>
      <c r="J167" s="5"/>
      <c r="K167" s="5"/>
    </row>
    <row r="168" spans="2:11">
      <c r="B168" s="5"/>
      <c r="D168" s="5"/>
      <c r="E168" s="5"/>
      <c r="F168" s="65"/>
      <c r="G168" s="5"/>
      <c r="H168" s="5"/>
      <c r="I168" s="65"/>
      <c r="J168" s="5"/>
      <c r="K168" s="5"/>
    </row>
    <row r="169" spans="2:11">
      <c r="B169" s="5"/>
      <c r="D169" s="5"/>
      <c r="E169" s="5"/>
      <c r="F169" s="65"/>
      <c r="G169" s="5"/>
      <c r="H169" s="5"/>
      <c r="I169" s="65"/>
      <c r="J169" s="5"/>
      <c r="K169" s="5"/>
    </row>
    <row r="170" spans="2:11">
      <c r="B170" s="5"/>
      <c r="D170" s="5"/>
      <c r="E170" s="5"/>
      <c r="F170" s="65"/>
      <c r="G170" s="5"/>
      <c r="H170" s="5"/>
      <c r="I170" s="65"/>
      <c r="J170" s="5"/>
      <c r="K170" s="5"/>
    </row>
    <row r="171" spans="2:11">
      <c r="B171" s="5"/>
      <c r="D171" s="5"/>
      <c r="E171" s="5"/>
      <c r="F171" s="65"/>
      <c r="G171" s="5"/>
      <c r="H171" s="5"/>
      <c r="I171" s="65"/>
      <c r="J171" s="5"/>
      <c r="K171" s="5"/>
    </row>
    <row r="172" spans="2:11">
      <c r="B172" s="5"/>
      <c r="D172" s="5"/>
      <c r="E172" s="5"/>
      <c r="F172" s="65"/>
      <c r="G172" s="5"/>
      <c r="H172" s="5"/>
      <c r="I172" s="65"/>
      <c r="J172" s="5"/>
      <c r="K172" s="5"/>
    </row>
    <row r="173" spans="2:11">
      <c r="B173" s="5"/>
      <c r="D173" s="5"/>
      <c r="E173" s="5"/>
      <c r="F173" s="65"/>
      <c r="G173" s="5"/>
      <c r="H173" s="5"/>
      <c r="I173" s="65"/>
      <c r="J173" s="5"/>
      <c r="K173" s="5"/>
    </row>
    <row r="174" spans="2:11">
      <c r="B174" s="5"/>
      <c r="D174" s="5"/>
      <c r="E174" s="5"/>
      <c r="F174" s="65"/>
      <c r="G174" s="5"/>
      <c r="H174" s="5"/>
      <c r="I174" s="65"/>
      <c r="J174" s="5"/>
      <c r="K174" s="5"/>
    </row>
    <row r="175" spans="2:11">
      <c r="B175" s="5"/>
      <c r="D175" s="5"/>
      <c r="E175" s="5"/>
      <c r="F175" s="65"/>
      <c r="G175" s="5"/>
      <c r="H175" s="5"/>
      <c r="I175" s="65"/>
      <c r="J175" s="5"/>
      <c r="K175" s="5"/>
    </row>
    <row r="176" spans="2:11">
      <c r="B176" s="5"/>
      <c r="D176" s="5"/>
      <c r="E176" s="5"/>
      <c r="F176" s="65"/>
      <c r="G176" s="5"/>
      <c r="H176" s="5"/>
      <c r="I176" s="65"/>
      <c r="J176" s="5"/>
      <c r="K176" s="5"/>
    </row>
    <row r="177" spans="2:11">
      <c r="B177" s="5"/>
      <c r="D177" s="5"/>
      <c r="E177" s="5"/>
      <c r="F177" s="65"/>
      <c r="G177" s="5"/>
      <c r="H177" s="5"/>
      <c r="I177" s="65"/>
      <c r="J177" s="5"/>
      <c r="K177" s="5"/>
    </row>
    <row r="178" spans="2:11">
      <c r="B178" s="5"/>
      <c r="D178" s="5"/>
      <c r="E178" s="5"/>
      <c r="F178" s="65"/>
      <c r="G178" s="5"/>
      <c r="H178" s="5"/>
      <c r="I178" s="65"/>
      <c r="J178" s="5"/>
      <c r="K178" s="5"/>
    </row>
    <row r="179" spans="2:11">
      <c r="B179" s="5"/>
      <c r="D179" s="5"/>
      <c r="E179" s="5"/>
      <c r="F179" s="65"/>
      <c r="G179" s="5"/>
      <c r="H179" s="5"/>
      <c r="I179" s="65"/>
      <c r="J179" s="5"/>
      <c r="K179" s="5"/>
    </row>
    <row r="180" spans="2:11">
      <c r="B180" s="5"/>
      <c r="D180" s="5"/>
      <c r="E180" s="5"/>
      <c r="F180" s="65"/>
      <c r="G180" s="5"/>
      <c r="H180" s="5"/>
      <c r="I180" s="65"/>
      <c r="J180" s="5"/>
      <c r="K180" s="5"/>
    </row>
    <row r="181" spans="2:11">
      <c r="B181" s="5"/>
      <c r="D181" s="5"/>
      <c r="E181" s="5"/>
      <c r="F181" s="65"/>
      <c r="G181" s="5"/>
      <c r="H181" s="5"/>
      <c r="I181" s="65"/>
      <c r="J181" s="5"/>
      <c r="K181" s="5"/>
    </row>
    <row r="182" spans="2:11">
      <c r="B182" s="5"/>
      <c r="D182" s="5"/>
      <c r="E182" s="5"/>
      <c r="F182" s="65"/>
      <c r="G182" s="5"/>
      <c r="H182" s="5"/>
      <c r="I182" s="65"/>
      <c r="J182" s="5"/>
      <c r="K182" s="5"/>
    </row>
    <row r="183" spans="2:11">
      <c r="B183" s="5"/>
      <c r="D183" s="5"/>
      <c r="E183" s="5"/>
      <c r="F183" s="65"/>
      <c r="G183" s="5"/>
      <c r="H183" s="5"/>
      <c r="I183" s="65"/>
      <c r="J183" s="5"/>
      <c r="K183" s="5"/>
    </row>
    <row r="184" spans="2:11">
      <c r="B184" s="5"/>
      <c r="D184" s="5"/>
      <c r="E184" s="5"/>
      <c r="F184" s="65"/>
      <c r="G184" s="5"/>
      <c r="H184" s="5"/>
      <c r="I184" s="65"/>
      <c r="J184" s="5"/>
      <c r="K184" s="5"/>
    </row>
    <row r="185" spans="2:11">
      <c r="B185" s="5"/>
      <c r="D185" s="5"/>
      <c r="E185" s="5"/>
      <c r="F185" s="65"/>
      <c r="G185" s="5"/>
      <c r="H185" s="5"/>
      <c r="I185" s="65"/>
      <c r="J185" s="5"/>
      <c r="K185" s="5"/>
    </row>
    <row r="186" spans="2:11">
      <c r="B186" s="5"/>
      <c r="D186" s="5"/>
      <c r="E186" s="5"/>
      <c r="F186" s="65"/>
      <c r="G186" s="5"/>
      <c r="H186" s="5"/>
      <c r="I186" s="65"/>
      <c r="J186" s="5"/>
      <c r="K186" s="5"/>
    </row>
    <row r="187" spans="2:11">
      <c r="B187" s="5"/>
      <c r="D187" s="5"/>
      <c r="E187" s="5"/>
      <c r="F187" s="65"/>
      <c r="G187" s="5"/>
      <c r="H187" s="5"/>
      <c r="I187" s="65"/>
      <c r="J187" s="5"/>
      <c r="K187" s="5"/>
    </row>
    <row r="188" spans="2:11">
      <c r="B188" s="5"/>
      <c r="D188" s="5"/>
      <c r="E188" s="5"/>
      <c r="F188" s="65"/>
      <c r="G188" s="5"/>
      <c r="H188" s="5"/>
      <c r="I188" s="65"/>
      <c r="J188" s="5"/>
      <c r="K188" s="5"/>
    </row>
  </sheetData>
  <sheetProtection insertColumns="0" insertRows="0"/>
  <mergeCells count="37">
    <mergeCell ref="B10:D10"/>
    <mergeCell ref="F10:S10"/>
    <mergeCell ref="F11:S11"/>
    <mergeCell ref="E12:R12"/>
    <mergeCell ref="E13:R13"/>
    <mergeCell ref="D37:I37"/>
    <mergeCell ref="B90:B91"/>
    <mergeCell ref="B92:B102"/>
    <mergeCell ref="B104:B110"/>
    <mergeCell ref="B111:B123"/>
    <mergeCell ref="B15:B49"/>
    <mergeCell ref="D15:I15"/>
    <mergeCell ref="D16:I16"/>
    <mergeCell ref="D17:I17"/>
    <mergeCell ref="D22:I22"/>
    <mergeCell ref="D23:I23"/>
    <mergeCell ref="D24:I24"/>
    <mergeCell ref="D29:I29"/>
    <mergeCell ref="D30:I30"/>
    <mergeCell ref="D31:I31"/>
    <mergeCell ref="D36:I36"/>
    <mergeCell ref="D38:I38"/>
    <mergeCell ref="D43:I43"/>
    <mergeCell ref="D44:I44"/>
    <mergeCell ref="D45:I45"/>
    <mergeCell ref="D60:I60"/>
    <mergeCell ref="B86:D86"/>
    <mergeCell ref="D61:I61"/>
    <mergeCell ref="B63:E63"/>
    <mergeCell ref="B64:B70"/>
    <mergeCell ref="B72:E72"/>
    <mergeCell ref="B73:B79"/>
    <mergeCell ref="A1:P1"/>
    <mergeCell ref="A2:P2"/>
    <mergeCell ref="A3:P3"/>
    <mergeCell ref="A4:D4"/>
    <mergeCell ref="A5:P5"/>
  </mergeCells>
  <conditionalFormatting sqref="E12:R12">
    <cfRule type="expression" dxfId="39" priority="1">
      <formula>E11="SI SE REPORTA"</formula>
    </cfRule>
  </conditionalFormatting>
  <conditionalFormatting sqref="F10">
    <cfRule type="notContainsBlanks" dxfId="38" priority="4">
      <formula>LEN(TRIM(F10))&gt;0</formula>
    </cfRule>
  </conditionalFormatting>
  <conditionalFormatting sqref="F11:S11">
    <cfRule type="expression" dxfId="37" priority="2">
      <formula>E11="NO SE REPORTA"</formula>
    </cfRule>
    <cfRule type="expression" dxfId="36" priority="3">
      <formula>E10="NO APLICA"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33:H34 E40:H41 E19:H20 E26:H27 E47:H48" xr:uid="{FDBCF1E2-640B-4046-B3D9-DAB6B746399F}">
      <formula1>0</formula1>
    </dataValidation>
    <dataValidation allowBlank="1" showInputMessage="1" showErrorMessage="1" sqref="E49:H49 E52:E57 G52:G57 F57 E21:H21 I26:I28 E28:H28 E35:I35 I33:I34 I40:I42 E42:H42 I47:I49" xr:uid="{F4C3073C-857C-4858-B9D4-2CD2E2064522}"/>
    <dataValidation type="list" allowBlank="1" showInputMessage="1" showErrorMessage="1" sqref="E11" xr:uid="{66B5D433-DC0B-459B-90EB-99C8B531C0EB}">
      <formula1>REPORTE</formula1>
    </dataValidation>
    <dataValidation type="list" allowBlank="1" showInputMessage="1" showErrorMessage="1" sqref="E10" xr:uid="{E1A3EE95-BC1A-4E54-8D9A-2A02FEC36906}">
      <formula1>SI</formula1>
    </dataValidation>
  </dataValidations>
  <hyperlinks>
    <hyperlink ref="B9" location="'ANEXO 3'!A1" display="VOLVER AL INDICE" xr:uid="{1FE9BA41-8322-4733-ADC0-D7A711FE3970}"/>
    <hyperlink ref="E68" r:id="rId1" display="jrestrepo@crautonoma.gov.co" xr:uid="{E3592CA0-67A0-4864-AF90-17AE107D8EB9}"/>
  </hyperlinks>
  <pageMargins left="0.25" right="0.25" top="0.75" bottom="0.75" header="0.3" footer="0.3"/>
  <pageSetup paperSize="178" orientation="landscape" horizontalDpi="1200" verticalDpi="1200" r:id="rId2"/>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dimension ref="A1:T191"/>
  <sheetViews>
    <sheetView topLeftCell="A111" zoomScale="89" zoomScaleNormal="89" workbookViewId="0">
      <selection activeCell="G120" sqref="G120"/>
    </sheetView>
  </sheetViews>
  <sheetFormatPr baseColWidth="10" defaultColWidth="11.44140625" defaultRowHeight="14.4"/>
  <cols>
    <col min="1" max="1" width="1.88671875" customWidth="1"/>
    <col min="2" max="2" width="12.88671875" customWidth="1"/>
    <col min="3" max="3" width="7.88671875" style="65" customWidth="1"/>
    <col min="4" max="4" width="30.33203125" customWidth="1"/>
    <col min="5" max="5" width="14.6640625" customWidth="1"/>
    <col min="6" max="6" width="14.44140625" customWidth="1"/>
    <col min="9" max="9" width="11.44140625" style="109"/>
    <col min="10" max="10" width="4.33203125" customWidth="1"/>
  </cols>
  <sheetData>
    <row r="1" spans="1:20" s="304" customFormat="1" ht="100.5" customHeight="1" thickBot="1">
      <c r="A1" s="2384"/>
      <c r="B1" s="2385"/>
      <c r="C1" s="2385"/>
      <c r="D1" s="2385"/>
      <c r="E1" s="2385"/>
      <c r="F1" s="2385"/>
      <c r="G1" s="2385"/>
      <c r="H1" s="2385"/>
      <c r="I1" s="2385"/>
      <c r="J1" s="2385"/>
      <c r="K1" s="2385"/>
      <c r="L1" s="2385"/>
      <c r="M1" s="2385"/>
      <c r="N1" s="2385"/>
      <c r="O1" s="2385"/>
      <c r="P1" s="2386"/>
      <c r="Q1"/>
    </row>
    <row r="2" spans="1:20" s="305" customFormat="1" ht="16.2" thickBot="1">
      <c r="A2" s="2381" t="s">
        <v>520</v>
      </c>
      <c r="B2" s="2382"/>
      <c r="C2" s="2382"/>
      <c r="D2" s="2382"/>
      <c r="E2" s="2382"/>
      <c r="F2" s="2382"/>
      <c r="G2" s="2382"/>
      <c r="H2" s="2382"/>
      <c r="I2" s="2382"/>
      <c r="J2" s="2382"/>
      <c r="K2" s="2382"/>
      <c r="L2" s="2382"/>
      <c r="M2" s="2382"/>
      <c r="N2" s="2382"/>
      <c r="O2" s="2382"/>
      <c r="P2" s="2383"/>
      <c r="Q2"/>
    </row>
    <row r="3" spans="1:20" s="305" customFormat="1" ht="16.2" thickBot="1">
      <c r="A3" s="2392" t="s">
        <v>696</v>
      </c>
      <c r="B3" s="2393"/>
      <c r="C3" s="2393"/>
      <c r="D3" s="2393"/>
      <c r="E3" s="2393"/>
      <c r="F3" s="2393"/>
      <c r="G3" s="2393"/>
      <c r="H3" s="2393"/>
      <c r="I3" s="2393"/>
      <c r="J3" s="2393"/>
      <c r="K3" s="2393"/>
      <c r="L3" s="2393"/>
      <c r="M3" s="2393"/>
      <c r="N3" s="2393"/>
      <c r="O3" s="2393"/>
      <c r="P3" s="2394"/>
      <c r="Q3"/>
    </row>
    <row r="4" spans="1:20" s="305" customFormat="1" ht="16.2" thickBot="1">
      <c r="A4" s="2387" t="s">
        <v>697</v>
      </c>
      <c r="B4" s="2388"/>
      <c r="C4" s="2388"/>
      <c r="D4" s="2388"/>
      <c r="E4" s="312" t="str">
        <f>+'Datos Generales'!C6</f>
        <v>2025-II</v>
      </c>
      <c r="F4" s="312"/>
      <c r="G4" s="312"/>
      <c r="H4" s="312"/>
      <c r="I4" s="312"/>
      <c r="J4" s="312"/>
      <c r="K4" s="312"/>
      <c r="L4" s="313"/>
      <c r="M4" s="313"/>
      <c r="N4" s="313"/>
      <c r="O4" s="313"/>
      <c r="P4" s="314"/>
      <c r="Q4"/>
    </row>
    <row r="5" spans="1:20" ht="16.5" customHeight="1" thickBot="1">
      <c r="A5" s="2392" t="s">
        <v>31</v>
      </c>
      <c r="B5" s="2393"/>
      <c r="C5" s="2393"/>
      <c r="D5" s="2393"/>
      <c r="E5" s="2393"/>
      <c r="F5" s="2393"/>
      <c r="G5" s="2393"/>
      <c r="H5" s="2393"/>
      <c r="I5" s="2393"/>
      <c r="J5" s="2393"/>
      <c r="K5" s="2393"/>
      <c r="L5" s="2393"/>
      <c r="M5" s="2393"/>
      <c r="N5" s="2393"/>
      <c r="O5" s="2393"/>
      <c r="P5" s="2394"/>
    </row>
    <row r="6" spans="1:20">
      <c r="B6" s="1" t="s">
        <v>736</v>
      </c>
      <c r="C6" s="63"/>
      <c r="D6" s="5"/>
      <c r="E6" s="61"/>
      <c r="F6" s="5" t="s">
        <v>737</v>
      </c>
      <c r="G6" s="5"/>
      <c r="H6" s="5"/>
      <c r="I6" s="65"/>
      <c r="J6" s="5"/>
      <c r="K6" s="5"/>
    </row>
    <row r="7" spans="1:20" ht="15" thickBot="1">
      <c r="B7" s="62"/>
      <c r="C7" s="64"/>
      <c r="D7" s="5"/>
      <c r="E7" s="14"/>
      <c r="F7" s="5" t="s">
        <v>738</v>
      </c>
      <c r="G7" s="5"/>
      <c r="H7" s="5"/>
      <c r="I7" s="65"/>
      <c r="J7" s="5"/>
      <c r="K7" s="5"/>
    </row>
    <row r="8" spans="1:20" ht="15" thickBot="1">
      <c r="B8" s="141" t="s">
        <v>739</v>
      </c>
      <c r="C8" s="539">
        <v>2025</v>
      </c>
      <c r="D8" s="164">
        <f>IF(E10="NO APLICA","NO APLICA",IF(E11="NO SE REPORTA","SIN INFORMACION",+G116))</f>
        <v>0.80166146852563269</v>
      </c>
      <c r="E8" s="161"/>
      <c r="F8" s="5" t="s">
        <v>740</v>
      </c>
      <c r="G8" s="5"/>
      <c r="H8" s="5"/>
      <c r="I8" s="65"/>
      <c r="J8" s="5"/>
      <c r="K8" s="5"/>
    </row>
    <row r="9" spans="1:20">
      <c r="B9" s="290" t="s">
        <v>741</v>
      </c>
      <c r="C9" s="66"/>
      <c r="D9" s="5"/>
      <c r="E9" s="5"/>
      <c r="F9" s="5"/>
      <c r="G9" s="5"/>
      <c r="H9" s="5"/>
      <c r="I9" s="65"/>
      <c r="J9" s="5"/>
      <c r="K9" s="5"/>
    </row>
    <row r="10" spans="1:20">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5"/>
      <c r="T10" s="5"/>
    </row>
    <row r="11" spans="1:20"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row>
    <row r="12" spans="1:20" ht="123.6" customHeight="1">
      <c r="B12" s="290"/>
      <c r="C12" s="66"/>
      <c r="D12" s="141" t="str">
        <f>IF(E11="SI SE REPORTA","¿Qué programas o proyectos del Plan de Acción están asociados al indicador? ","")</f>
        <v xml:space="preserve">¿Qué programas o proyectos del Plan de Acción están asociados al indicador? </v>
      </c>
      <c r="E12" s="2500" t="s">
        <v>1770</v>
      </c>
      <c r="F12" s="2500"/>
      <c r="G12" s="2500"/>
      <c r="H12" s="2500"/>
      <c r="I12" s="2500"/>
      <c r="J12" s="2500"/>
      <c r="K12" s="2500"/>
      <c r="L12" s="2500"/>
      <c r="M12" s="2500"/>
      <c r="N12" s="2500"/>
      <c r="O12" s="2500"/>
      <c r="P12" s="2500"/>
      <c r="Q12" s="2500"/>
    </row>
    <row r="13" spans="1:20" ht="21.9" customHeight="1">
      <c r="B13" s="290"/>
      <c r="C13" s="66"/>
      <c r="D13" s="141" t="s">
        <v>746</v>
      </c>
      <c r="E13" s="2501"/>
      <c r="F13" s="2502"/>
      <c r="G13" s="2502"/>
      <c r="H13" s="2502"/>
      <c r="I13" s="2502"/>
      <c r="J13" s="2502"/>
      <c r="K13" s="2502"/>
      <c r="L13" s="2502"/>
      <c r="M13" s="2502"/>
      <c r="N13" s="2502"/>
      <c r="O13" s="2502"/>
      <c r="P13" s="2502"/>
      <c r="Q13" s="2502"/>
    </row>
    <row r="14" spans="1:20" ht="6.9" customHeight="1" thickBot="1">
      <c r="B14" s="290"/>
      <c r="C14" s="66"/>
      <c r="D14" s="5"/>
      <c r="E14" s="5"/>
      <c r="F14" s="5"/>
      <c r="G14" s="5"/>
      <c r="H14" s="5"/>
      <c r="I14" s="65"/>
      <c r="J14" s="5"/>
      <c r="K14" s="5"/>
    </row>
    <row r="15" spans="1:20">
      <c r="B15" s="2421" t="s">
        <v>747</v>
      </c>
      <c r="C15" s="67"/>
      <c r="D15" s="2412" t="s">
        <v>748</v>
      </c>
      <c r="E15" s="2413"/>
      <c r="F15" s="2413"/>
      <c r="G15" s="2413"/>
      <c r="H15" s="2413"/>
      <c r="I15" s="2414"/>
      <c r="J15" s="5"/>
      <c r="K15" s="5"/>
    </row>
    <row r="16" spans="1:20">
      <c r="B16" s="2422"/>
      <c r="C16" s="70"/>
      <c r="D16" s="2674" t="s">
        <v>1771</v>
      </c>
      <c r="E16" s="2675"/>
      <c r="F16" s="2675"/>
      <c r="G16" s="2675"/>
      <c r="H16" s="2675"/>
      <c r="I16" s="2676"/>
      <c r="J16" s="5"/>
      <c r="K16" s="5"/>
    </row>
    <row r="17" spans="2:11" ht="15" thickBot="1">
      <c r="B17" s="2422"/>
      <c r="C17" s="70"/>
      <c r="D17" s="2403"/>
      <c r="E17" s="2404"/>
      <c r="F17" s="2404"/>
      <c r="G17" s="2404"/>
      <c r="H17" s="2404"/>
      <c r="I17" s="2405"/>
      <c r="J17" s="5"/>
      <c r="K17" s="5"/>
    </row>
    <row r="18" spans="2:11" ht="36.6" thickBot="1">
      <c r="B18" s="2422"/>
      <c r="C18" s="72"/>
      <c r="D18" s="34" t="s">
        <v>2114</v>
      </c>
      <c r="E18" s="518">
        <v>77</v>
      </c>
      <c r="F18" s="5"/>
      <c r="G18" s="5"/>
      <c r="H18" s="5"/>
      <c r="I18" s="252"/>
      <c r="J18" s="5"/>
      <c r="K18" s="5"/>
    </row>
    <row r="19" spans="2:11" ht="36.6" thickBot="1">
      <c r="B19" s="2422"/>
      <c r="C19" s="72"/>
      <c r="D19" s="32" t="s">
        <v>1772</v>
      </c>
      <c r="E19" s="518">
        <v>77</v>
      </c>
      <c r="F19" s="5"/>
      <c r="G19" s="5"/>
      <c r="H19" s="5"/>
      <c r="I19" s="252"/>
      <c r="J19" s="5"/>
      <c r="K19" s="5"/>
    </row>
    <row r="20" spans="2:11" ht="15" thickBot="1">
      <c r="B20" s="2422"/>
      <c r="C20" s="70"/>
      <c r="D20" s="2434"/>
      <c r="E20" s="2435"/>
      <c r="F20" s="2435"/>
      <c r="G20" s="2435"/>
      <c r="H20" s="2435"/>
      <c r="I20" s="2436"/>
      <c r="J20" s="5"/>
      <c r="K20" s="5"/>
    </row>
    <row r="21" spans="2:11" ht="15" thickBot="1">
      <c r="B21" s="2422"/>
      <c r="C21" s="72"/>
      <c r="D21" s="34" t="s">
        <v>904</v>
      </c>
      <c r="E21" s="30" t="s">
        <v>592</v>
      </c>
      <c r="F21" s="30" t="s">
        <v>2115</v>
      </c>
      <c r="G21" s="30" t="s">
        <v>594</v>
      </c>
      <c r="H21" s="30" t="s">
        <v>595</v>
      </c>
      <c r="I21" s="68" t="s">
        <v>905</v>
      </c>
      <c r="J21" s="5"/>
      <c r="K21" s="5"/>
    </row>
    <row r="22" spans="2:11" ht="36.75" customHeight="1" thickBot="1">
      <c r="B22" s="2422"/>
      <c r="C22" s="72"/>
      <c r="D22" s="32" t="s">
        <v>1773</v>
      </c>
      <c r="E22" s="518"/>
      <c r="F22" s="518">
        <v>77</v>
      </c>
      <c r="G22" s="518"/>
      <c r="H22" s="518"/>
      <c r="I22" s="820">
        <f>SUM(E22:H22)</f>
        <v>77</v>
      </c>
      <c r="J22" s="5"/>
      <c r="K22" s="5"/>
    </row>
    <row r="23" spans="2:11" ht="30.75" customHeight="1" thickBot="1">
      <c r="B23" s="2422"/>
      <c r="C23" s="72"/>
      <c r="D23" s="32" t="s">
        <v>1774</v>
      </c>
      <c r="E23" s="518"/>
      <c r="F23" s="518">
        <v>65</v>
      </c>
      <c r="G23" s="518"/>
      <c r="H23" s="518"/>
      <c r="I23" s="820">
        <f>SUM(E23:H23)</f>
        <v>65</v>
      </c>
      <c r="J23" s="812"/>
      <c r="K23" s="5"/>
    </row>
    <row r="24" spans="2:11" ht="24.6" thickBot="1">
      <c r="B24" s="2422"/>
      <c r="C24" s="72"/>
      <c r="D24" s="32" t="s">
        <v>1775</v>
      </c>
      <c r="E24" s="475" t="e">
        <f>+E23/E22</f>
        <v>#DIV/0!</v>
      </c>
      <c r="F24" s="475">
        <f>+F23/F22</f>
        <v>0.8441558441558441</v>
      </c>
      <c r="G24" s="475" t="e">
        <f>+G23/G22</f>
        <v>#DIV/0!</v>
      </c>
      <c r="H24" s="475" t="e">
        <f>+H23/H22</f>
        <v>#DIV/0!</v>
      </c>
      <c r="I24" s="475">
        <f>+I23/I22</f>
        <v>0.8441558441558441</v>
      </c>
      <c r="J24" s="5"/>
      <c r="K24" s="5"/>
    </row>
    <row r="25" spans="2:11">
      <c r="B25" s="2422"/>
      <c r="C25" s="70"/>
      <c r="D25" s="2412" t="s">
        <v>1776</v>
      </c>
      <c r="E25" s="2413"/>
      <c r="F25" s="2413"/>
      <c r="G25" s="2413"/>
      <c r="H25" s="2413"/>
      <c r="I25" s="2414"/>
      <c r="J25" s="5"/>
      <c r="K25" s="5"/>
    </row>
    <row r="26" spans="2:11" ht="15" thickBot="1">
      <c r="B26" s="2422"/>
      <c r="C26" s="70"/>
      <c r="D26" s="2403"/>
      <c r="E26" s="2404"/>
      <c r="F26" s="2404"/>
      <c r="G26" s="2404"/>
      <c r="H26" s="2404"/>
      <c r="I26" s="2405"/>
      <c r="J26" s="5"/>
      <c r="K26" s="5"/>
    </row>
    <row r="27" spans="2:11" ht="24">
      <c r="B27" s="2422"/>
      <c r="C27" s="72"/>
      <c r="D27" s="2554" t="s">
        <v>1777</v>
      </c>
      <c r="E27" s="2559" t="s">
        <v>1778</v>
      </c>
      <c r="F27" s="2559" t="s">
        <v>1779</v>
      </c>
      <c r="G27" s="2559" t="s">
        <v>1780</v>
      </c>
      <c r="H27" s="151" t="s">
        <v>1781</v>
      </c>
      <c r="I27" s="252"/>
      <c r="J27" s="5"/>
      <c r="K27" s="5"/>
    </row>
    <row r="28" spans="2:11" ht="15" thickBot="1">
      <c r="B28" s="2422"/>
      <c r="C28" s="72"/>
      <c r="D28" s="2556"/>
      <c r="E28" s="2560"/>
      <c r="F28" s="2560"/>
      <c r="G28" s="2560"/>
      <c r="H28" s="152" t="s">
        <v>1782</v>
      </c>
      <c r="I28" s="252"/>
      <c r="J28" s="5"/>
      <c r="K28" s="5"/>
    </row>
    <row r="29" spans="2:11" ht="15" thickBot="1">
      <c r="B29" s="2422"/>
      <c r="C29" s="72"/>
      <c r="D29" s="216" t="s">
        <v>1783</v>
      </c>
      <c r="E29" s="117">
        <v>36</v>
      </c>
      <c r="F29" s="117">
        <v>36</v>
      </c>
      <c r="G29" s="117">
        <v>36</v>
      </c>
      <c r="H29" s="117">
        <v>36</v>
      </c>
      <c r="I29" s="252"/>
      <c r="J29" s="5"/>
      <c r="K29" s="5"/>
    </row>
    <row r="30" spans="2:11" ht="15" thickBot="1">
      <c r="B30" s="2422"/>
      <c r="C30" s="72"/>
      <c r="D30" s="216" t="s">
        <v>1784</v>
      </c>
      <c r="E30" s="117">
        <v>12</v>
      </c>
      <c r="F30" s="117">
        <v>12</v>
      </c>
      <c r="G30" s="117">
        <v>12</v>
      </c>
      <c r="H30" s="117">
        <v>12</v>
      </c>
      <c r="I30" s="252"/>
      <c r="J30" s="5"/>
      <c r="K30" s="5"/>
    </row>
    <row r="31" spans="2:11" ht="15" thickBot="1">
      <c r="B31" s="2422"/>
      <c r="C31" s="72"/>
      <c r="D31" s="216" t="s">
        <v>1785</v>
      </c>
      <c r="E31" s="117">
        <v>6</v>
      </c>
      <c r="F31" s="117">
        <v>6</v>
      </c>
      <c r="G31" s="117">
        <v>6</v>
      </c>
      <c r="H31" s="117">
        <v>6</v>
      </c>
      <c r="I31" s="252"/>
      <c r="J31" s="5"/>
      <c r="K31" s="5"/>
    </row>
    <row r="32" spans="2:11" ht="15" thickBot="1">
      <c r="B32" s="2422"/>
      <c r="C32" s="72"/>
      <c r="D32" s="217" t="s">
        <v>2116</v>
      </c>
      <c r="E32" s="117">
        <v>9</v>
      </c>
      <c r="F32" s="117">
        <v>9</v>
      </c>
      <c r="G32" s="117">
        <v>9</v>
      </c>
      <c r="H32" s="117">
        <v>9</v>
      </c>
      <c r="I32" s="252"/>
      <c r="J32" s="5"/>
      <c r="K32" s="5"/>
    </row>
    <row r="33" spans="2:11" ht="15" thickBot="1">
      <c r="B33" s="2422"/>
      <c r="C33" s="72"/>
      <c r="D33" s="216" t="s">
        <v>2117</v>
      </c>
      <c r="E33" s="117">
        <v>2</v>
      </c>
      <c r="F33" s="117">
        <v>2</v>
      </c>
      <c r="G33" s="117">
        <v>2</v>
      </c>
      <c r="H33" s="117">
        <v>2</v>
      </c>
      <c r="I33" s="252"/>
      <c r="J33" s="5"/>
      <c r="K33" s="5"/>
    </row>
    <row r="34" spans="2:11" ht="15" thickBot="1">
      <c r="B34" s="2422"/>
      <c r="C34" s="72"/>
      <c r="D34" s="25"/>
      <c r="E34" s="117"/>
      <c r="F34" s="117"/>
      <c r="G34" s="117"/>
      <c r="H34" s="117"/>
      <c r="I34" s="252"/>
      <c r="J34" s="5"/>
      <c r="K34" s="5"/>
    </row>
    <row r="35" spans="2:11" ht="15" thickBot="1">
      <c r="B35" s="2422"/>
      <c r="C35" s="72"/>
      <c r="D35" s="25"/>
      <c r="E35" s="117"/>
      <c r="F35" s="117"/>
      <c r="G35" s="117"/>
      <c r="H35" s="117"/>
      <c r="I35" s="252"/>
      <c r="J35" s="5"/>
      <c r="K35" s="5"/>
    </row>
    <row r="36" spans="2:11" ht="15" thickBot="1">
      <c r="B36" s="2422"/>
      <c r="C36" s="72"/>
      <c r="D36" s="32" t="s">
        <v>905</v>
      </c>
      <c r="E36" s="253">
        <f>SUM(E29:E35)</f>
        <v>65</v>
      </c>
      <c r="F36" s="253">
        <f>SUM(F29:F35)</f>
        <v>65</v>
      </c>
      <c r="G36" s="253">
        <f>SUM(G29:G35)</f>
        <v>65</v>
      </c>
      <c r="H36" s="253">
        <f>SUM(H29:H35)</f>
        <v>65</v>
      </c>
      <c r="I36" s="252"/>
      <c r="J36" s="5"/>
      <c r="K36" s="5"/>
    </row>
    <row r="37" spans="2:11">
      <c r="B37" s="2422"/>
      <c r="C37" s="70"/>
      <c r="D37" s="2403"/>
      <c r="E37" s="2404"/>
      <c r="F37" s="2404"/>
      <c r="G37" s="2404"/>
      <c r="H37" s="2404"/>
      <c r="I37" s="2405"/>
      <c r="J37" s="5"/>
      <c r="K37" s="5"/>
    </row>
    <row r="38" spans="2:11">
      <c r="B38" s="2422"/>
      <c r="C38" s="70"/>
      <c r="D38" s="2674" t="s">
        <v>1786</v>
      </c>
      <c r="E38" s="2675"/>
      <c r="F38" s="2675"/>
      <c r="G38" s="2675"/>
      <c r="H38" s="2675"/>
      <c r="I38" s="2676"/>
      <c r="J38" s="5"/>
      <c r="K38" s="5"/>
    </row>
    <row r="39" spans="2:11" ht="15" thickBot="1">
      <c r="B39" s="2422"/>
      <c r="C39" s="70"/>
      <c r="D39" s="2403"/>
      <c r="E39" s="2404"/>
      <c r="F39" s="2404"/>
      <c r="G39" s="2404"/>
      <c r="H39" s="2404"/>
      <c r="I39" s="2405"/>
      <c r="J39" s="5"/>
      <c r="K39" s="5"/>
    </row>
    <row r="40" spans="2:11" ht="15" thickBot="1">
      <c r="B40" s="2422"/>
      <c r="C40" s="72"/>
      <c r="D40" s="34" t="s">
        <v>904</v>
      </c>
      <c r="E40" s="68" t="s">
        <v>1787</v>
      </c>
      <c r="F40" s="5"/>
      <c r="G40" s="5"/>
      <c r="H40" s="5"/>
      <c r="I40" s="252"/>
      <c r="J40" s="5"/>
      <c r="K40" s="5"/>
    </row>
    <row r="41" spans="2:11" ht="26.25" customHeight="1" thickBot="1">
      <c r="B41" s="2422"/>
      <c r="C41" s="72"/>
      <c r="D41" s="32" t="s">
        <v>2118</v>
      </c>
      <c r="E41" s="518">
        <v>267</v>
      </c>
      <c r="F41" s="5"/>
      <c r="G41" s="5"/>
      <c r="H41" s="5"/>
      <c r="I41" s="252"/>
      <c r="J41" s="5"/>
      <c r="K41" s="5"/>
    </row>
    <row r="42" spans="2:11" ht="24.6" thickBot="1">
      <c r="B42" s="2422"/>
      <c r="C42" s="72"/>
      <c r="D42" s="32" t="s">
        <v>2119</v>
      </c>
      <c r="E42" s="518">
        <v>267</v>
      </c>
      <c r="F42" s="5"/>
      <c r="G42" s="5"/>
      <c r="H42" s="5"/>
      <c r="I42" s="252"/>
      <c r="J42" s="5"/>
      <c r="K42" s="5"/>
    </row>
    <row r="43" spans="2:11">
      <c r="B43" s="2422"/>
      <c r="C43" s="70"/>
      <c r="D43" s="2403"/>
      <c r="E43" s="2404"/>
      <c r="F43" s="2404"/>
      <c r="G43" s="2404"/>
      <c r="H43" s="2404"/>
      <c r="I43" s="2405"/>
      <c r="J43" s="5"/>
      <c r="K43" s="5"/>
    </row>
    <row r="44" spans="2:11">
      <c r="B44" s="2422"/>
      <c r="C44" s="70"/>
      <c r="D44" s="2403" t="s">
        <v>1788</v>
      </c>
      <c r="E44" s="2404"/>
      <c r="F44" s="2404"/>
      <c r="G44" s="2404"/>
      <c r="H44" s="2404"/>
      <c r="I44" s="2405"/>
      <c r="J44" s="5"/>
      <c r="K44" s="5"/>
    </row>
    <row r="45" spans="2:11" ht="15" thickBot="1">
      <c r="B45" s="2422"/>
      <c r="C45" s="70"/>
      <c r="D45" s="2434"/>
      <c r="E45" s="2435"/>
      <c r="F45" s="2435"/>
      <c r="G45" s="2435"/>
      <c r="H45" s="2435"/>
      <c r="I45" s="2436"/>
      <c r="J45" s="5"/>
      <c r="K45" s="5"/>
    </row>
    <row r="46" spans="2:11" ht="15" thickBot="1">
      <c r="B46" s="2422"/>
      <c r="C46" s="72"/>
      <c r="D46" s="34" t="s">
        <v>904</v>
      </c>
      <c r="E46" s="68" t="s">
        <v>794</v>
      </c>
      <c r="F46" s="30" t="s">
        <v>2120</v>
      </c>
      <c r="G46" s="30" t="s">
        <v>594</v>
      </c>
      <c r="H46" s="30" t="s">
        <v>595</v>
      </c>
      <c r="I46" s="68" t="s">
        <v>905</v>
      </c>
      <c r="J46" s="5"/>
      <c r="K46" s="5"/>
    </row>
    <row r="47" spans="2:11" ht="24.6" thickBot="1">
      <c r="B47" s="2422"/>
      <c r="C47" s="72"/>
      <c r="D47" s="32" t="s">
        <v>1789</v>
      </c>
      <c r="E47" s="518"/>
      <c r="F47" s="518">
        <v>267</v>
      </c>
      <c r="G47" s="518"/>
      <c r="H47" s="518"/>
      <c r="I47" s="819">
        <f>SUM(E47:H47)</f>
        <v>267</v>
      </c>
      <c r="J47" s="5"/>
      <c r="K47" s="5"/>
    </row>
    <row r="48" spans="2:11" ht="24.6" thickBot="1">
      <c r="B48" s="2422"/>
      <c r="C48" s="72"/>
      <c r="D48" s="32" t="s">
        <v>1790</v>
      </c>
      <c r="E48" s="518"/>
      <c r="F48" s="518">
        <v>261</v>
      </c>
      <c r="G48" s="518"/>
      <c r="H48" s="518"/>
      <c r="I48" s="819">
        <f>SUM(E48:H48)</f>
        <v>261</v>
      </c>
      <c r="J48" s="811"/>
      <c r="K48" s="5"/>
    </row>
    <row r="49" spans="2:11" ht="24.6" thickBot="1">
      <c r="B49" s="2422"/>
      <c r="C49" s="72"/>
      <c r="D49" s="32" t="s">
        <v>1791</v>
      </c>
      <c r="E49" s="145" t="e">
        <f>+E48/E47</f>
        <v>#DIV/0!</v>
      </c>
      <c r="F49" s="145">
        <f>+F48/F47</f>
        <v>0.97752808988764039</v>
      </c>
      <c r="G49" s="145" t="e">
        <f>+G48/G47</f>
        <v>#DIV/0!</v>
      </c>
      <c r="H49" s="145" t="e">
        <f>+H48/H47</f>
        <v>#DIV/0!</v>
      </c>
      <c r="I49" s="145">
        <f>+I48/I47</f>
        <v>0.97752808988764039</v>
      </c>
      <c r="J49" s="5"/>
      <c r="K49" s="5"/>
    </row>
    <row r="50" spans="2:11">
      <c r="B50" s="2422"/>
      <c r="C50" s="70"/>
      <c r="D50" s="2412"/>
      <c r="E50" s="2413"/>
      <c r="F50" s="2413"/>
      <c r="G50" s="2413"/>
      <c r="H50" s="2413"/>
      <c r="I50" s="2414"/>
      <c r="J50" s="5"/>
      <c r="K50" s="5"/>
    </row>
    <row r="51" spans="2:11">
      <c r="B51" s="2422"/>
      <c r="C51" s="70"/>
      <c r="D51" s="2403" t="s">
        <v>1792</v>
      </c>
      <c r="E51" s="2404"/>
      <c r="F51" s="2404"/>
      <c r="G51" s="2404"/>
      <c r="H51" s="2404"/>
      <c r="I51" s="2405"/>
      <c r="J51" s="5"/>
      <c r="K51" s="5"/>
    </row>
    <row r="52" spans="2:11" ht="15" thickBot="1">
      <c r="B52" s="2422"/>
      <c r="C52" s="70"/>
      <c r="D52" s="2738"/>
      <c r="E52" s="2739"/>
      <c r="F52" s="2739"/>
      <c r="G52" s="2739"/>
      <c r="H52" s="2739"/>
      <c r="I52" s="2740"/>
      <c r="J52" s="5"/>
      <c r="K52" s="5"/>
    </row>
    <row r="53" spans="2:11" ht="15" thickBot="1">
      <c r="B53" s="2422"/>
      <c r="C53" s="72"/>
      <c r="D53" s="34" t="s">
        <v>904</v>
      </c>
      <c r="E53" s="30" t="s">
        <v>592</v>
      </c>
      <c r="F53" s="30" t="s">
        <v>593</v>
      </c>
      <c r="G53" s="30" t="s">
        <v>594</v>
      </c>
      <c r="H53" s="30" t="s">
        <v>595</v>
      </c>
      <c r="I53" s="68" t="s">
        <v>905</v>
      </c>
      <c r="J53" s="5"/>
      <c r="K53" s="5"/>
    </row>
    <row r="54" spans="2:11" ht="24.6" thickBot="1">
      <c r="B54" s="2422"/>
      <c r="C54" s="72"/>
      <c r="D54" s="32" t="s">
        <v>1793</v>
      </c>
      <c r="E54" s="518"/>
      <c r="F54" s="518"/>
      <c r="G54" s="117"/>
      <c r="H54" s="117"/>
      <c r="I54" s="520">
        <f>SUM(E54:H54)</f>
        <v>0</v>
      </c>
      <c r="J54" s="5"/>
      <c r="K54" s="5"/>
    </row>
    <row r="55" spans="2:11" ht="24.6" thickBot="1">
      <c r="B55" s="2422"/>
      <c r="C55" s="72"/>
      <c r="D55" s="32" t="s">
        <v>1794</v>
      </c>
      <c r="E55" s="518"/>
      <c r="F55" s="518"/>
      <c r="G55" s="117"/>
      <c r="H55" s="117"/>
      <c r="I55" s="520">
        <f>SUM(E55:H55)</f>
        <v>0</v>
      </c>
      <c r="J55" s="5"/>
      <c r="K55" s="5"/>
    </row>
    <row r="56" spans="2:11" ht="24.6" thickBot="1">
      <c r="B56" s="2422"/>
      <c r="C56" s="72"/>
      <c r="D56" s="32" t="s">
        <v>1795</v>
      </c>
      <c r="E56" s="145" t="e">
        <f>+E55/E54</f>
        <v>#DIV/0!</v>
      </c>
      <c r="F56" s="145" t="e">
        <f>+F55/F54</f>
        <v>#DIV/0!</v>
      </c>
      <c r="G56" s="145" t="e">
        <f>+G55/G54</f>
        <v>#DIV/0!</v>
      </c>
      <c r="H56" s="145" t="e">
        <f>+H55/H54</f>
        <v>#DIV/0!</v>
      </c>
      <c r="I56" s="145" t="e">
        <f>+I55/I54</f>
        <v>#DIV/0!</v>
      </c>
      <c r="J56" s="5"/>
      <c r="K56" s="5"/>
    </row>
    <row r="57" spans="2:11">
      <c r="B57" s="2422"/>
      <c r="C57" s="70"/>
      <c r="D57" s="2412"/>
      <c r="E57" s="2413"/>
      <c r="F57" s="2413"/>
      <c r="G57" s="2413"/>
      <c r="H57" s="2413"/>
      <c r="I57" s="2414"/>
      <c r="J57" s="5"/>
      <c r="K57" s="5"/>
    </row>
    <row r="58" spans="2:11">
      <c r="B58" s="2422"/>
      <c r="C58" s="70"/>
      <c r="D58" s="2674" t="s">
        <v>1796</v>
      </c>
      <c r="E58" s="2675"/>
      <c r="F58" s="2675"/>
      <c r="G58" s="2675"/>
      <c r="H58" s="2675"/>
      <c r="I58" s="2676"/>
      <c r="J58" s="5"/>
      <c r="K58" s="5"/>
    </row>
    <row r="59" spans="2:11" ht="15" thickBot="1">
      <c r="B59" s="2422"/>
      <c r="C59" s="70"/>
      <c r="D59" s="2403"/>
      <c r="E59" s="2404"/>
      <c r="F59" s="2404"/>
      <c r="G59" s="2404"/>
      <c r="H59" s="2404"/>
      <c r="I59" s="2405"/>
      <c r="J59" s="5"/>
      <c r="K59" s="5"/>
    </row>
    <row r="60" spans="2:11" ht="15" thickBot="1">
      <c r="B60" s="2422"/>
      <c r="C60" s="72"/>
      <c r="D60" s="34" t="s">
        <v>904</v>
      </c>
      <c r="E60" s="30" t="s">
        <v>1787</v>
      </c>
      <c r="F60" s="5"/>
      <c r="G60" s="5"/>
      <c r="H60" s="5"/>
      <c r="I60" s="252"/>
      <c r="J60" s="5"/>
      <c r="K60" s="5"/>
    </row>
    <row r="61" spans="2:11" ht="24.6" thickBot="1">
      <c r="B61" s="2422"/>
      <c r="C61" s="72"/>
      <c r="D61" s="32" t="s">
        <v>2121</v>
      </c>
      <c r="E61" s="518">
        <v>171</v>
      </c>
      <c r="F61" s="5"/>
      <c r="G61" s="5"/>
      <c r="H61" s="5"/>
      <c r="I61" s="252"/>
      <c r="J61" s="5"/>
      <c r="K61" s="5"/>
    </row>
    <row r="62" spans="2:11" ht="24.6" thickBot="1">
      <c r="B62" s="2422"/>
      <c r="C62" s="72"/>
      <c r="D62" s="32" t="s">
        <v>2122</v>
      </c>
      <c r="E62" s="518">
        <v>171</v>
      </c>
      <c r="F62" s="5"/>
      <c r="G62" s="5"/>
      <c r="H62" s="5"/>
      <c r="I62" s="252"/>
      <c r="J62" s="5"/>
      <c r="K62" s="5"/>
    </row>
    <row r="63" spans="2:11" ht="24.6" thickBot="1">
      <c r="B63" s="2422"/>
      <c r="C63" s="72"/>
      <c r="D63" s="32" t="s">
        <v>2127</v>
      </c>
      <c r="E63" s="518"/>
      <c r="F63" s="5"/>
      <c r="G63" s="5"/>
      <c r="H63" s="5"/>
      <c r="I63" s="252"/>
      <c r="J63" s="5"/>
      <c r="K63" s="5"/>
    </row>
    <row r="64" spans="2:11">
      <c r="B64" s="2422"/>
      <c r="C64" s="70"/>
      <c r="D64" s="2403"/>
      <c r="E64" s="2404"/>
      <c r="F64" s="2404"/>
      <c r="G64" s="2404"/>
      <c r="H64" s="2404"/>
      <c r="I64" s="2405"/>
      <c r="J64" s="5"/>
      <c r="K64" s="5"/>
    </row>
    <row r="65" spans="2:11">
      <c r="B65" s="2422"/>
      <c r="C65" s="70"/>
      <c r="D65" s="2403" t="s">
        <v>1797</v>
      </c>
      <c r="E65" s="2404"/>
      <c r="F65" s="2404"/>
      <c r="G65" s="2404"/>
      <c r="H65" s="2404"/>
      <c r="I65" s="2405"/>
      <c r="J65" s="5"/>
      <c r="K65" s="5"/>
    </row>
    <row r="66" spans="2:11" ht="15" thickBot="1">
      <c r="B66" s="2422"/>
      <c r="C66" s="70"/>
      <c r="D66" s="2434"/>
      <c r="E66" s="2435"/>
      <c r="F66" s="2435"/>
      <c r="G66" s="2435"/>
      <c r="H66" s="2435"/>
      <c r="I66" s="2436"/>
      <c r="J66" s="5"/>
      <c r="K66" s="5"/>
    </row>
    <row r="67" spans="2:11" ht="15" thickBot="1">
      <c r="B67" s="2422"/>
      <c r="C67" s="72"/>
      <c r="D67" s="34" t="s">
        <v>904</v>
      </c>
      <c r="E67" s="68" t="s">
        <v>592</v>
      </c>
      <c r="F67" s="68" t="s">
        <v>2128</v>
      </c>
      <c r="G67" s="30" t="s">
        <v>594</v>
      </c>
      <c r="H67" s="30" t="s">
        <v>595</v>
      </c>
      <c r="I67" s="68" t="s">
        <v>905</v>
      </c>
      <c r="J67" s="5"/>
      <c r="K67" s="5"/>
    </row>
    <row r="68" spans="2:11" ht="36.6" thickBot="1">
      <c r="B68" s="2422"/>
      <c r="C68" s="72"/>
      <c r="D68" s="32" t="s">
        <v>1798</v>
      </c>
      <c r="E68" s="518"/>
      <c r="F68" s="518">
        <v>171</v>
      </c>
      <c r="G68" s="518"/>
      <c r="H68" s="518"/>
      <c r="I68" s="819">
        <f>SUM(E68:H68)</f>
        <v>171</v>
      </c>
      <c r="J68" s="5"/>
      <c r="K68" s="5"/>
    </row>
    <row r="69" spans="2:11" ht="24.6" thickBot="1">
      <c r="B69" s="2422"/>
      <c r="C69" s="72"/>
      <c r="D69" s="32" t="s">
        <v>1799</v>
      </c>
      <c r="E69" s="518"/>
      <c r="F69" s="518">
        <v>153</v>
      </c>
      <c r="G69" s="518"/>
      <c r="H69" s="518"/>
      <c r="I69" s="819">
        <f>SUM(E69:H69)</f>
        <v>153</v>
      </c>
      <c r="J69" s="811"/>
      <c r="K69" s="5"/>
    </row>
    <row r="70" spans="2:11" ht="24.6" thickBot="1">
      <c r="B70" s="2422"/>
      <c r="C70" s="72"/>
      <c r="D70" s="32" t="s">
        <v>1800</v>
      </c>
      <c r="E70" s="475" t="e">
        <f>+E69/E68</f>
        <v>#DIV/0!</v>
      </c>
      <c r="F70" s="475">
        <f>+F69/F68</f>
        <v>0.89473684210526316</v>
      </c>
      <c r="G70" s="475" t="e">
        <f>+G69/G68</f>
        <v>#DIV/0!</v>
      </c>
      <c r="H70" s="475" t="e">
        <f>+H69/H68</f>
        <v>#DIV/0!</v>
      </c>
      <c r="I70" s="475">
        <f>+I69/I68</f>
        <v>0.89473684210526316</v>
      </c>
      <c r="J70" s="5"/>
      <c r="K70" s="5"/>
    </row>
    <row r="71" spans="2:11" ht="15" thickBot="1">
      <c r="B71" s="2422"/>
      <c r="C71" s="79"/>
      <c r="D71" s="106"/>
      <c r="E71" s="254"/>
      <c r="F71" s="254"/>
      <c r="G71" s="254"/>
      <c r="H71" s="254"/>
      <c r="I71" s="255"/>
      <c r="J71" s="5"/>
      <c r="K71" s="5"/>
    </row>
    <row r="72" spans="2:11">
      <c r="B72" s="2422"/>
      <c r="C72" s="70"/>
      <c r="D72" s="2412" t="s">
        <v>1801</v>
      </c>
      <c r="E72" s="2413"/>
      <c r="F72" s="2413"/>
      <c r="G72" s="2413"/>
      <c r="H72" s="2413"/>
      <c r="I72" s="2414"/>
      <c r="J72" s="5"/>
      <c r="K72" s="5"/>
    </row>
    <row r="73" spans="2:11" ht="15.75" customHeight="1" thickBot="1">
      <c r="B73" s="2422"/>
      <c r="C73" s="70"/>
      <c r="D73" s="2738"/>
      <c r="E73" s="2739"/>
      <c r="F73" s="2739"/>
      <c r="G73" s="2739"/>
      <c r="H73" s="2739"/>
      <c r="I73" s="2740"/>
      <c r="J73" s="5"/>
      <c r="K73" s="5"/>
    </row>
    <row r="74" spans="2:11" ht="15" thickBot="1">
      <c r="B74" s="2422"/>
      <c r="C74" s="72"/>
      <c r="D74" s="34" t="s">
        <v>904</v>
      </c>
      <c r="E74" s="68" t="s">
        <v>592</v>
      </c>
      <c r="F74" s="68" t="s">
        <v>593</v>
      </c>
      <c r="G74" s="68" t="s">
        <v>594</v>
      </c>
      <c r="H74" s="68" t="s">
        <v>595</v>
      </c>
      <c r="I74" s="68" t="s">
        <v>905</v>
      </c>
      <c r="J74" s="5"/>
      <c r="K74" s="5"/>
    </row>
    <row r="75" spans="2:11" ht="24.6" thickBot="1">
      <c r="B75" s="2422"/>
      <c r="C75" s="72"/>
      <c r="D75" s="32" t="s">
        <v>1802</v>
      </c>
      <c r="E75" s="518"/>
      <c r="F75" s="518"/>
      <c r="G75" s="518"/>
      <c r="H75" s="518"/>
      <c r="I75" s="520">
        <f>SUM(E75:H75)</f>
        <v>0</v>
      </c>
      <c r="J75" s="5"/>
      <c r="K75" s="5"/>
    </row>
    <row r="76" spans="2:11" ht="24.6" thickBot="1">
      <c r="B76" s="2422"/>
      <c r="C76" s="72"/>
      <c r="D76" s="32" t="s">
        <v>1803</v>
      </c>
      <c r="E76" s="518"/>
      <c r="F76" s="518"/>
      <c r="G76" s="518"/>
      <c r="H76" s="518"/>
      <c r="I76" s="520">
        <f>SUM(E76:H76)</f>
        <v>0</v>
      </c>
      <c r="J76" s="5"/>
      <c r="K76" s="5"/>
    </row>
    <row r="77" spans="2:11" ht="24.6" thickBot="1">
      <c r="B77" s="2422"/>
      <c r="C77" s="72"/>
      <c r="D77" s="32" t="s">
        <v>1804</v>
      </c>
      <c r="E77" s="475" t="e">
        <f>+E76/E75</f>
        <v>#DIV/0!</v>
      </c>
      <c r="F77" s="475" t="e">
        <f>+F76/F75</f>
        <v>#DIV/0!</v>
      </c>
      <c r="G77" s="475" t="e">
        <f>+G76/G75</f>
        <v>#DIV/0!</v>
      </c>
      <c r="H77" s="475" t="e">
        <f>+H76/H75</f>
        <v>#DIV/0!</v>
      </c>
      <c r="I77" s="475" t="e">
        <f>+I76/I75</f>
        <v>#DIV/0!</v>
      </c>
      <c r="J77" s="5"/>
      <c r="K77" s="5"/>
    </row>
    <row r="78" spans="2:11">
      <c r="B78" s="2422"/>
      <c r="C78" s="70"/>
      <c r="D78" s="2412"/>
      <c r="E78" s="2413"/>
      <c r="F78" s="2413"/>
      <c r="G78" s="2413"/>
      <c r="H78" s="2413"/>
      <c r="I78" s="2414"/>
      <c r="J78" s="5"/>
      <c r="K78" s="5"/>
    </row>
    <row r="79" spans="2:11" ht="15" thickBot="1">
      <c r="B79" s="2422"/>
      <c r="C79" s="70"/>
      <c r="D79" s="2674" t="s">
        <v>1805</v>
      </c>
      <c r="E79" s="2675"/>
      <c r="F79" s="2675"/>
      <c r="G79" s="2675"/>
      <c r="H79" s="2675"/>
      <c r="I79" s="2676"/>
      <c r="J79" s="5"/>
      <c r="K79" s="5"/>
    </row>
    <row r="80" spans="2:11" ht="15" thickBot="1">
      <c r="B80" s="2422"/>
      <c r="C80" s="72"/>
      <c r="D80" s="34" t="s">
        <v>904</v>
      </c>
      <c r="E80" s="68" t="s">
        <v>1787</v>
      </c>
      <c r="F80" s="5"/>
      <c r="G80" s="5"/>
      <c r="H80" s="5"/>
      <c r="I80" s="252"/>
      <c r="J80" s="5"/>
      <c r="K80" s="5"/>
    </row>
    <row r="81" spans="2:11" ht="24.6" thickBot="1">
      <c r="B81" s="2422"/>
      <c r="C81" s="72"/>
      <c r="D81" s="32" t="s">
        <v>2123</v>
      </c>
      <c r="E81" s="518">
        <v>208</v>
      </c>
      <c r="F81" s="5"/>
      <c r="G81" s="5"/>
      <c r="H81" s="5"/>
      <c r="I81" s="252"/>
      <c r="J81" s="5"/>
      <c r="K81" s="5"/>
    </row>
    <row r="82" spans="2:11" ht="24.6" thickBot="1">
      <c r="B82" s="2422"/>
      <c r="C82" s="72"/>
      <c r="D82" s="32" t="s">
        <v>2126</v>
      </c>
      <c r="E82" s="518">
        <v>208</v>
      </c>
      <c r="F82" s="5"/>
      <c r="G82" s="5"/>
      <c r="H82" s="5"/>
      <c r="I82" s="252"/>
      <c r="J82" s="5"/>
      <c r="K82" s="5"/>
    </row>
    <row r="83" spans="2:11">
      <c r="B83" s="2422"/>
      <c r="C83" s="70"/>
      <c r="D83" s="2403"/>
      <c r="E83" s="2404"/>
      <c r="F83" s="2404"/>
      <c r="G83" s="2404"/>
      <c r="H83" s="2404"/>
      <c r="I83" s="2405"/>
      <c r="J83" s="5"/>
      <c r="K83" s="5"/>
    </row>
    <row r="84" spans="2:11" ht="15" thickBot="1">
      <c r="B84" s="2422"/>
      <c r="C84" s="70"/>
      <c r="D84" s="2434" t="s">
        <v>1806</v>
      </c>
      <c r="E84" s="2435"/>
      <c r="F84" s="2435"/>
      <c r="G84" s="2435"/>
      <c r="H84" s="2435"/>
      <c r="I84" s="2436"/>
      <c r="J84" s="5"/>
      <c r="K84" s="5"/>
    </row>
    <row r="85" spans="2:11" ht="15" thickBot="1">
      <c r="B85" s="2422"/>
      <c r="C85" s="72"/>
      <c r="D85" s="34" t="s">
        <v>904</v>
      </c>
      <c r="E85" s="68" t="s">
        <v>592</v>
      </c>
      <c r="F85" s="68" t="s">
        <v>593</v>
      </c>
      <c r="G85" s="30" t="s">
        <v>594</v>
      </c>
      <c r="H85" s="30" t="s">
        <v>595</v>
      </c>
      <c r="I85" s="68" t="s">
        <v>905</v>
      </c>
      <c r="J85" s="5"/>
      <c r="K85" s="5"/>
    </row>
    <row r="86" spans="2:11" ht="36.6" thickBot="1">
      <c r="B86" s="2422"/>
      <c r="C86" s="72"/>
      <c r="D86" s="32" t="s">
        <v>1807</v>
      </c>
      <c r="E86" s="518"/>
      <c r="F86" s="518">
        <v>208</v>
      </c>
      <c r="G86" s="518"/>
      <c r="H86" s="518"/>
      <c r="I86" s="819">
        <f>SUM(E86:H86)</f>
        <v>208</v>
      </c>
      <c r="J86" s="5"/>
      <c r="K86" s="5"/>
    </row>
    <row r="87" spans="2:11" ht="24.6" thickBot="1">
      <c r="B87" s="2422"/>
      <c r="C87" s="72"/>
      <c r="D87" s="32" t="s">
        <v>1808</v>
      </c>
      <c r="E87" s="518"/>
      <c r="F87" s="518">
        <v>169</v>
      </c>
      <c r="G87" s="518"/>
      <c r="H87" s="518"/>
      <c r="I87" s="819">
        <f>SUM(E87:H87)</f>
        <v>169</v>
      </c>
      <c r="J87" s="811"/>
      <c r="K87" s="5"/>
    </row>
    <row r="88" spans="2:11" ht="36.6" thickBot="1">
      <c r="B88" s="2422"/>
      <c r="C88" s="72"/>
      <c r="D88" s="32" t="s">
        <v>1809</v>
      </c>
      <c r="E88" s="475" t="e">
        <f>+E87/E86</f>
        <v>#DIV/0!</v>
      </c>
      <c r="F88" s="475">
        <f>+F87/F86</f>
        <v>0.8125</v>
      </c>
      <c r="G88" s="475" t="e">
        <f>+G87/G86</f>
        <v>#DIV/0!</v>
      </c>
      <c r="H88" s="475" t="e">
        <f>+H87/H86</f>
        <v>#DIV/0!</v>
      </c>
      <c r="I88" s="475">
        <f>+I87/I86</f>
        <v>0.8125</v>
      </c>
      <c r="J88" s="5"/>
      <c r="K88" s="5"/>
    </row>
    <row r="89" spans="2:11">
      <c r="B89" s="2422"/>
      <c r="C89" s="70"/>
      <c r="D89" s="2412"/>
      <c r="E89" s="2413"/>
      <c r="F89" s="2413"/>
      <c r="G89" s="2413"/>
      <c r="H89" s="2413"/>
      <c r="I89" s="2414"/>
      <c r="J89" s="5"/>
      <c r="K89" s="5"/>
    </row>
    <row r="90" spans="2:11">
      <c r="B90" s="2422"/>
      <c r="C90" s="70"/>
      <c r="D90" s="2403" t="s">
        <v>1810</v>
      </c>
      <c r="E90" s="2404"/>
      <c r="F90" s="2404"/>
      <c r="G90" s="2404"/>
      <c r="H90" s="2404"/>
      <c r="I90" s="2405"/>
      <c r="J90" s="5"/>
      <c r="K90" s="5"/>
    </row>
    <row r="91" spans="2:11" ht="15" thickBot="1">
      <c r="B91" s="2422"/>
      <c r="C91" s="70"/>
      <c r="D91" s="2738"/>
      <c r="E91" s="2739"/>
      <c r="F91" s="2739"/>
      <c r="G91" s="2739"/>
      <c r="H91" s="2739"/>
      <c r="I91" s="2740"/>
      <c r="J91" s="5"/>
      <c r="K91" s="5"/>
    </row>
    <row r="92" spans="2:11" ht="15" thickBot="1">
      <c r="B92" s="2422"/>
      <c r="C92" s="72"/>
      <c r="D92" s="34" t="s">
        <v>904</v>
      </c>
      <c r="E92" s="30" t="s">
        <v>592</v>
      </c>
      <c r="F92" s="30" t="s">
        <v>593</v>
      </c>
      <c r="G92" s="30" t="s">
        <v>594</v>
      </c>
      <c r="H92" s="30" t="s">
        <v>595</v>
      </c>
      <c r="I92" s="68" t="s">
        <v>905</v>
      </c>
      <c r="J92" s="5"/>
      <c r="K92" s="5"/>
    </row>
    <row r="93" spans="2:11" ht="24.6" thickBot="1">
      <c r="B93" s="2422"/>
      <c r="C93" s="72"/>
      <c r="D93" s="32" t="s">
        <v>1811</v>
      </c>
      <c r="E93" s="518"/>
      <c r="F93" s="518"/>
      <c r="G93" s="518"/>
      <c r="H93" s="518"/>
      <c r="I93" s="520">
        <f>SUM(E93:H93)</f>
        <v>0</v>
      </c>
      <c r="J93" s="5"/>
      <c r="K93" s="5"/>
    </row>
    <row r="94" spans="2:11" ht="24.6" thickBot="1">
      <c r="B94" s="2422"/>
      <c r="C94" s="72"/>
      <c r="D94" s="32" t="s">
        <v>1812</v>
      </c>
      <c r="E94" s="518"/>
      <c r="F94" s="518"/>
      <c r="G94" s="518"/>
      <c r="H94" s="518"/>
      <c r="I94" s="520">
        <f>SUM(E94:H94)</f>
        <v>0</v>
      </c>
      <c r="J94" s="5"/>
      <c r="K94" s="5"/>
    </row>
    <row r="95" spans="2:11" ht="36.6" thickBot="1">
      <c r="B95" s="2422"/>
      <c r="C95" s="72"/>
      <c r="D95" s="32" t="s">
        <v>1813</v>
      </c>
      <c r="E95" s="475" t="e">
        <f>+E94/E93</f>
        <v>#DIV/0!</v>
      </c>
      <c r="F95" s="475" t="e">
        <f>+F94/F93</f>
        <v>#DIV/0!</v>
      </c>
      <c r="G95" s="475" t="e">
        <f>+G94/G93</f>
        <v>#DIV/0!</v>
      </c>
      <c r="H95" s="475" t="e">
        <f>+H94/H93</f>
        <v>#DIV/0!</v>
      </c>
      <c r="I95" s="475" t="e">
        <f>+I94/I93</f>
        <v>#DIV/0!</v>
      </c>
      <c r="J95" s="5"/>
      <c r="K95" s="5"/>
    </row>
    <row r="96" spans="2:11">
      <c r="B96" s="2422"/>
      <c r="C96" s="70"/>
      <c r="D96" s="2412"/>
      <c r="E96" s="2413"/>
      <c r="F96" s="2413"/>
      <c r="G96" s="2413"/>
      <c r="H96" s="2413"/>
      <c r="I96" s="2414"/>
      <c r="J96" s="5"/>
      <c r="K96" s="5"/>
    </row>
    <row r="97" spans="2:11">
      <c r="B97" s="2422"/>
      <c r="C97" s="70"/>
      <c r="D97" s="2674" t="s">
        <v>1814</v>
      </c>
      <c r="E97" s="2675"/>
      <c r="F97" s="2675"/>
      <c r="G97" s="2675"/>
      <c r="H97" s="2675"/>
      <c r="I97" s="2676"/>
      <c r="J97" s="5"/>
      <c r="K97" s="5"/>
    </row>
    <row r="98" spans="2:11" ht="15" thickBot="1">
      <c r="B98" s="2422"/>
      <c r="C98" s="70"/>
      <c r="D98" s="2403"/>
      <c r="E98" s="2404"/>
      <c r="F98" s="2404"/>
      <c r="G98" s="2404"/>
      <c r="H98" s="2404"/>
      <c r="I98" s="2405"/>
      <c r="J98" s="5"/>
      <c r="K98" s="5"/>
    </row>
    <row r="99" spans="2:11" ht="15" thickBot="1">
      <c r="B99" s="2422"/>
      <c r="C99" s="72"/>
      <c r="D99" s="34" t="s">
        <v>904</v>
      </c>
      <c r="E99" s="30" t="s">
        <v>1787</v>
      </c>
      <c r="F99" s="5"/>
      <c r="G99" s="5"/>
      <c r="H99" s="5"/>
      <c r="I99" s="252"/>
      <c r="J99" s="5"/>
      <c r="K99" s="5"/>
    </row>
    <row r="100" spans="2:11" ht="24.6" thickBot="1">
      <c r="B100" s="2422"/>
      <c r="C100" s="72"/>
      <c r="D100" s="32" t="s">
        <v>2124</v>
      </c>
      <c r="E100" s="518">
        <v>82</v>
      </c>
      <c r="F100" s="5"/>
      <c r="G100" s="5"/>
      <c r="H100" s="5"/>
      <c r="I100" s="252"/>
      <c r="J100" s="5"/>
      <c r="K100" s="5"/>
    </row>
    <row r="101" spans="2:11" ht="24.6" thickBot="1">
      <c r="B101" s="2422"/>
      <c r="C101" s="72"/>
      <c r="D101" s="32" t="s">
        <v>2125</v>
      </c>
      <c r="E101" s="518">
        <v>82</v>
      </c>
      <c r="F101" s="5"/>
      <c r="G101" s="5"/>
      <c r="H101" s="5"/>
      <c r="I101" s="252"/>
      <c r="J101" s="5"/>
      <c r="K101" s="5"/>
    </row>
    <row r="102" spans="2:11">
      <c r="B102" s="2422"/>
      <c r="C102" s="70"/>
      <c r="D102" s="2403"/>
      <c r="E102" s="2404"/>
      <c r="F102" s="2404"/>
      <c r="G102" s="2404"/>
      <c r="H102" s="2404"/>
      <c r="I102" s="2405"/>
      <c r="J102" s="5"/>
      <c r="K102" s="5"/>
    </row>
    <row r="103" spans="2:11">
      <c r="B103" s="2422"/>
      <c r="C103" s="70"/>
      <c r="D103" s="2403" t="s">
        <v>1815</v>
      </c>
      <c r="E103" s="2404"/>
      <c r="F103" s="2404"/>
      <c r="G103" s="2404"/>
      <c r="H103" s="2404"/>
      <c r="I103" s="2405"/>
      <c r="J103" s="5"/>
      <c r="K103" s="5"/>
    </row>
    <row r="104" spans="2:11" ht="15" thickBot="1">
      <c r="B104" s="2422"/>
      <c r="C104" s="70"/>
      <c r="D104" s="2434"/>
      <c r="E104" s="2435"/>
      <c r="F104" s="2435"/>
      <c r="G104" s="2435"/>
      <c r="H104" s="2435"/>
      <c r="I104" s="2436"/>
      <c r="J104" s="5"/>
      <c r="K104" s="5"/>
    </row>
    <row r="105" spans="2:11" ht="15" thickBot="1">
      <c r="B105" s="2422"/>
      <c r="C105" s="72"/>
      <c r="D105" s="34" t="s">
        <v>904</v>
      </c>
      <c r="E105" s="68" t="s">
        <v>592</v>
      </c>
      <c r="F105" s="68" t="s">
        <v>1147</v>
      </c>
      <c r="G105" s="30" t="s">
        <v>594</v>
      </c>
      <c r="H105" s="30" t="s">
        <v>595</v>
      </c>
      <c r="I105" s="68" t="s">
        <v>905</v>
      </c>
      <c r="J105" s="5"/>
      <c r="K105" s="5"/>
    </row>
    <row r="106" spans="2:11" ht="36.6" thickBot="1">
      <c r="B106" s="2422"/>
      <c r="C106" s="72"/>
      <c r="D106" s="32" t="s">
        <v>1816</v>
      </c>
      <c r="E106" s="518"/>
      <c r="F106" s="518">
        <v>82</v>
      </c>
      <c r="G106" s="518"/>
      <c r="H106" s="518"/>
      <c r="I106" s="520">
        <f>SUM(E106:H106)</f>
        <v>82</v>
      </c>
      <c r="J106" s="5"/>
      <c r="K106" s="5"/>
    </row>
    <row r="107" spans="2:11" ht="24.6" thickBot="1">
      <c r="B107" s="2422"/>
      <c r="C107" s="72"/>
      <c r="D107" s="32" t="s">
        <v>1817</v>
      </c>
      <c r="E107" s="518"/>
      <c r="F107" s="518">
        <v>33</v>
      </c>
      <c r="G107" s="518"/>
      <c r="H107" s="518"/>
      <c r="I107" s="520">
        <f>SUM(E107:H107)</f>
        <v>33</v>
      </c>
      <c r="J107" s="811"/>
      <c r="K107" s="5"/>
    </row>
    <row r="108" spans="2:11" ht="24.6" thickBot="1">
      <c r="B108" s="2423"/>
      <c r="C108" s="2"/>
      <c r="D108" s="32" t="s">
        <v>1818</v>
      </c>
      <c r="E108" s="475" t="e">
        <f>+E107/E106</f>
        <v>#DIV/0!</v>
      </c>
      <c r="F108" s="475">
        <f>+F107/F106</f>
        <v>0.40243902439024393</v>
      </c>
      <c r="G108" s="475" t="e">
        <f>+G107/G106</f>
        <v>#DIV/0!</v>
      </c>
      <c r="H108" s="475" t="e">
        <f>+H107/H106</f>
        <v>#DIV/0!</v>
      </c>
      <c r="I108" s="475">
        <f>+I107/I106</f>
        <v>0.40243902439024393</v>
      </c>
      <c r="J108" s="5"/>
      <c r="K108" s="5"/>
    </row>
    <row r="109" spans="2:11" ht="15" thickBot="1">
      <c r="B109" s="29"/>
      <c r="C109" s="66"/>
      <c r="D109" s="5"/>
      <c r="E109" s="5"/>
      <c r="F109" s="5"/>
      <c r="G109" s="5"/>
      <c r="H109" s="5"/>
      <c r="I109" s="65"/>
      <c r="J109" s="5"/>
      <c r="K109" s="5"/>
    </row>
    <row r="110" spans="2:11" ht="24.6" thickBot="1">
      <c r="B110" s="29"/>
      <c r="C110" s="66"/>
      <c r="D110" s="42" t="s">
        <v>1735</v>
      </c>
      <c r="E110" s="42" t="s">
        <v>1819</v>
      </c>
      <c r="F110" s="42" t="s">
        <v>1526</v>
      </c>
      <c r="G110" s="42" t="s">
        <v>1820</v>
      </c>
      <c r="H110" s="5"/>
      <c r="I110" s="65"/>
      <c r="J110" s="5"/>
      <c r="K110" s="5"/>
    </row>
    <row r="111" spans="2:11" ht="24.6" thickBot="1">
      <c r="B111" s="29"/>
      <c r="C111" s="66"/>
      <c r="D111" s="42" t="str">
        <f>+D24</f>
        <v>Porcentaje de licencias ambientales con seguimiento (PLACS)</v>
      </c>
      <c r="E111" s="475">
        <f>+F24</f>
        <v>0.8441558441558441</v>
      </c>
      <c r="F111" s="521">
        <v>0.3</v>
      </c>
      <c r="G111" s="475">
        <f>+E111*F111</f>
        <v>0.25324675324675322</v>
      </c>
      <c r="H111" s="809"/>
      <c r="I111" s="810"/>
      <c r="J111" s="5"/>
      <c r="K111" s="5"/>
    </row>
    <row r="112" spans="2:11" ht="24.6" thickBot="1">
      <c r="B112" s="29"/>
      <c r="C112" s="66"/>
      <c r="D112" s="42" t="str">
        <f>+D49</f>
        <v>Porcentaje de concesiones de agua con seguimiento (PCACS)</v>
      </c>
      <c r="E112" s="475">
        <f>+F49</f>
        <v>0.97752808988764039</v>
      </c>
      <c r="F112" s="521">
        <v>0.1</v>
      </c>
      <c r="G112" s="475">
        <f>+E112*F112</f>
        <v>9.7752808988764039E-2</v>
      </c>
      <c r="H112" s="809"/>
      <c r="I112" s="810"/>
      <c r="J112" s="5"/>
      <c r="K112" s="5"/>
    </row>
    <row r="113" spans="2:11" ht="24.6" thickBot="1">
      <c r="B113" s="29"/>
      <c r="C113" s="66"/>
      <c r="D113" s="42" t="str">
        <f>+D70</f>
        <v>Porcentaje de permisos de vertimiento de agua con seguimiento (PVACS)</v>
      </c>
      <c r="E113" s="475">
        <f>+F70</f>
        <v>0.89473684210526316</v>
      </c>
      <c r="F113" s="521">
        <v>0.3</v>
      </c>
      <c r="G113" s="475">
        <f>+E113*F113</f>
        <v>0.26842105263157895</v>
      </c>
      <c r="H113" s="809"/>
      <c r="I113" s="810"/>
      <c r="J113" s="5"/>
      <c r="K113" s="5"/>
    </row>
    <row r="114" spans="2:11" ht="36.6" thickBot="1">
      <c r="B114" s="29"/>
      <c r="C114" s="66"/>
      <c r="D114" s="42" t="str">
        <f>+D88</f>
        <v>Porcentaje de permisos de aprovechamiento forestal con seguimiento (PPAFCS)</v>
      </c>
      <c r="E114" s="475">
        <f>+F88</f>
        <v>0.8125</v>
      </c>
      <c r="F114" s="521">
        <v>0.15</v>
      </c>
      <c r="G114" s="475">
        <f>+E114*F114</f>
        <v>0.121875</v>
      </c>
      <c r="H114" s="809"/>
      <c r="I114" s="810"/>
      <c r="J114" s="5"/>
      <c r="K114" s="5"/>
    </row>
    <row r="115" spans="2:11" ht="24.6" thickBot="1">
      <c r="B115" s="29"/>
      <c r="C115" s="66"/>
      <c r="D115" s="42" t="str">
        <f>+D108</f>
        <v>Porcentaje de permisos de emisiones atmosféricas con seguimiento (PEACS)</v>
      </c>
      <c r="E115" s="475">
        <f>+F108</f>
        <v>0.40243902439024393</v>
      </c>
      <c r="F115" s="521">
        <v>0.15</v>
      </c>
      <c r="G115" s="475">
        <f>+E115*F115</f>
        <v>6.0365853658536583E-2</v>
      </c>
      <c r="H115" s="809"/>
      <c r="I115" s="810"/>
      <c r="J115" s="5"/>
      <c r="K115" s="5"/>
    </row>
    <row r="116" spans="2:11" ht="24.6" thickBot="1">
      <c r="B116" s="29"/>
      <c r="C116" s="66"/>
      <c r="D116" s="42" t="s">
        <v>1739</v>
      </c>
      <c r="E116" s="256"/>
      <c r="F116" s="522">
        <v>1</v>
      </c>
      <c r="G116" s="475">
        <f>SUM(G111:G115)</f>
        <v>0.80166146852563269</v>
      </c>
      <c r="H116" s="5"/>
      <c r="I116" s="65"/>
      <c r="J116" s="5"/>
      <c r="K116" s="5"/>
    </row>
    <row r="117" spans="2:11" ht="15" thickBot="1">
      <c r="B117" s="29"/>
      <c r="C117" s="66"/>
      <c r="D117" s="5"/>
      <c r="E117" s="5"/>
      <c r="F117" s="5"/>
      <c r="G117" s="5"/>
      <c r="H117" s="5"/>
      <c r="I117" s="65"/>
      <c r="J117" s="5"/>
      <c r="K117" s="5"/>
    </row>
    <row r="118" spans="2:11" ht="108.6" thickBot="1">
      <c r="B118" s="42" t="s">
        <v>803</v>
      </c>
      <c r="C118" s="76"/>
      <c r="D118" s="34" t="s">
        <v>1821</v>
      </c>
      <c r="E118" s="5"/>
      <c r="F118" s="5"/>
      <c r="G118" s="5"/>
      <c r="H118" s="5"/>
      <c r="I118" s="65"/>
      <c r="J118" s="5"/>
      <c r="K118" s="5"/>
    </row>
    <row r="119" spans="2:11" ht="72.599999999999994" thickBot="1">
      <c r="B119" s="37" t="s">
        <v>805</v>
      </c>
      <c r="C119" s="2"/>
      <c r="D119" s="32" t="s">
        <v>913</v>
      </c>
      <c r="E119" s="5"/>
      <c r="F119" s="5"/>
      <c r="G119" s="5"/>
      <c r="H119" s="5"/>
      <c r="I119" s="65"/>
      <c r="J119" s="5"/>
      <c r="K119" s="5"/>
    </row>
    <row r="120" spans="2:11" ht="15" thickBot="1">
      <c r="B120" s="1"/>
      <c r="C120" s="63"/>
      <c r="D120" s="5"/>
      <c r="E120" s="5"/>
      <c r="F120" s="5"/>
      <c r="G120" s="5"/>
      <c r="H120" s="5"/>
      <c r="I120" s="65"/>
      <c r="J120" s="5"/>
      <c r="K120" s="5"/>
    </row>
    <row r="121" spans="2:11" ht="24" customHeight="1" thickBot="1">
      <c r="B121" s="2431" t="s">
        <v>807</v>
      </c>
      <c r="C121" s="2432"/>
      <c r="D121" s="2432"/>
      <c r="E121" s="2433"/>
      <c r="F121" s="5"/>
      <c r="G121" s="5"/>
      <c r="H121" s="5"/>
      <c r="I121" s="65"/>
      <c r="J121" s="5"/>
      <c r="K121" s="5"/>
    </row>
    <row r="122" spans="2:11" ht="15" thickBot="1">
      <c r="B122" s="2421">
        <v>1</v>
      </c>
      <c r="C122" s="72"/>
      <c r="D122" s="38" t="s">
        <v>808</v>
      </c>
      <c r="E122" s="953" t="s">
        <v>809</v>
      </c>
      <c r="F122" s="5"/>
      <c r="G122" s="5"/>
      <c r="H122" s="5"/>
      <c r="I122" s="65"/>
      <c r="J122" s="5"/>
      <c r="K122" s="5"/>
    </row>
    <row r="123" spans="2:11" ht="24.6" thickBot="1">
      <c r="B123" s="2422"/>
      <c r="C123" s="72"/>
      <c r="D123" s="32" t="s">
        <v>528</v>
      </c>
      <c r="E123" s="273" t="s">
        <v>1741</v>
      </c>
      <c r="F123" s="5"/>
      <c r="G123" s="5"/>
      <c r="H123" s="5"/>
      <c r="I123" s="65"/>
      <c r="J123" s="5"/>
      <c r="K123" s="5"/>
    </row>
    <row r="124" spans="2:11" ht="15" thickBot="1">
      <c r="B124" s="2422"/>
      <c r="C124" s="72"/>
      <c r="D124" s="32" t="s">
        <v>811</v>
      </c>
      <c r="E124" s="273" t="s">
        <v>985</v>
      </c>
      <c r="F124" s="5"/>
      <c r="G124" s="5"/>
      <c r="H124" s="5"/>
      <c r="I124" s="65"/>
      <c r="J124" s="5"/>
      <c r="K124" s="5"/>
    </row>
    <row r="125" spans="2:11" ht="15" thickBot="1">
      <c r="B125" s="2422"/>
      <c r="C125" s="72"/>
      <c r="D125" s="32" t="s">
        <v>531</v>
      </c>
      <c r="E125" s="273" t="s">
        <v>986</v>
      </c>
      <c r="F125" s="5"/>
      <c r="G125" s="5"/>
      <c r="H125" s="5"/>
      <c r="I125" s="65"/>
      <c r="J125" s="5"/>
      <c r="K125" s="5"/>
    </row>
    <row r="126" spans="2:11" ht="66" customHeight="1" thickBot="1">
      <c r="B126" s="2422"/>
      <c r="C126" s="72"/>
      <c r="D126" s="32" t="s">
        <v>534</v>
      </c>
      <c r="E126" s="435" t="s">
        <v>987</v>
      </c>
      <c r="F126" s="5"/>
      <c r="G126" s="5"/>
      <c r="H126" s="5"/>
      <c r="I126" s="65"/>
      <c r="J126" s="5"/>
      <c r="K126" s="5"/>
    </row>
    <row r="127" spans="2:11" ht="15" thickBot="1">
      <c r="B127" s="2422"/>
      <c r="C127" s="72"/>
      <c r="D127" s="32" t="s">
        <v>537</v>
      </c>
      <c r="E127" s="273" t="s">
        <v>1742</v>
      </c>
      <c r="F127" s="5"/>
      <c r="G127" s="5"/>
      <c r="H127" s="5"/>
      <c r="I127" s="65"/>
      <c r="J127" s="5"/>
      <c r="K127" s="5"/>
    </row>
    <row r="128" spans="2:11" ht="24.6" thickBot="1">
      <c r="B128" s="2423"/>
      <c r="C128" s="2"/>
      <c r="D128" s="32" t="s">
        <v>815</v>
      </c>
      <c r="E128" s="273" t="s">
        <v>816</v>
      </c>
      <c r="F128" s="5"/>
      <c r="G128" s="5"/>
      <c r="H128" s="5"/>
      <c r="I128" s="65"/>
      <c r="J128" s="5"/>
      <c r="K128" s="5"/>
    </row>
    <row r="129" spans="2:11" ht="15" thickBot="1">
      <c r="B129" s="1"/>
      <c r="C129" s="63"/>
      <c r="D129" s="5"/>
      <c r="E129" s="5"/>
      <c r="F129" s="5"/>
      <c r="G129" s="5"/>
      <c r="H129" s="5"/>
      <c r="I129" s="65"/>
      <c r="J129" s="5"/>
      <c r="K129" s="5"/>
    </row>
    <row r="130" spans="2:11" ht="15" thickBot="1">
      <c r="B130" s="2431" t="s">
        <v>817</v>
      </c>
      <c r="C130" s="2432"/>
      <c r="D130" s="2432"/>
      <c r="E130" s="2433"/>
      <c r="F130" s="5"/>
      <c r="G130" s="5"/>
      <c r="H130" s="5"/>
      <c r="I130" s="65"/>
      <c r="J130" s="5"/>
      <c r="K130" s="5"/>
    </row>
    <row r="131" spans="2:11" ht="39" customHeight="1" thickBot="1">
      <c r="B131" s="2421">
        <v>1</v>
      </c>
      <c r="C131" s="72"/>
      <c r="D131" s="38" t="s">
        <v>808</v>
      </c>
      <c r="E131" s="28" t="s">
        <v>818</v>
      </c>
      <c r="F131" s="5"/>
      <c r="G131" s="5"/>
      <c r="H131" s="5"/>
      <c r="I131" s="65"/>
      <c r="J131" s="5"/>
      <c r="K131" s="5"/>
    </row>
    <row r="132" spans="2:11" ht="72.599999999999994" thickBot="1">
      <c r="B132" s="2422"/>
      <c r="C132" s="72"/>
      <c r="D132" s="32" t="s">
        <v>528</v>
      </c>
      <c r="E132" s="28" t="s">
        <v>916</v>
      </c>
      <c r="F132" s="5"/>
      <c r="G132" s="5"/>
      <c r="H132" s="5"/>
      <c r="I132" s="65"/>
      <c r="J132" s="5"/>
      <c r="K132" s="5"/>
    </row>
    <row r="133" spans="2:11" ht="15" thickBot="1">
      <c r="B133" s="2422"/>
      <c r="C133" s="72"/>
      <c r="D133" s="32" t="s">
        <v>811</v>
      </c>
      <c r="E133" s="136"/>
      <c r="F133" s="5"/>
      <c r="G133" s="5"/>
      <c r="H133" s="5"/>
      <c r="I133" s="65"/>
      <c r="J133" s="5"/>
      <c r="K133" s="5"/>
    </row>
    <row r="134" spans="2:11" ht="15" thickBot="1">
      <c r="B134" s="2422"/>
      <c r="C134" s="72"/>
      <c r="D134" s="32" t="s">
        <v>531</v>
      </c>
      <c r="E134" s="136"/>
      <c r="F134" s="5"/>
      <c r="G134" s="5"/>
      <c r="H134" s="5"/>
      <c r="I134" s="65"/>
      <c r="J134" s="5"/>
      <c r="K134" s="5"/>
    </row>
    <row r="135" spans="2:11" ht="15" thickBot="1">
      <c r="B135" s="2422"/>
      <c r="C135" s="72"/>
      <c r="D135" s="32" t="s">
        <v>534</v>
      </c>
      <c r="E135" s="136"/>
      <c r="F135" s="5"/>
      <c r="G135" s="5"/>
      <c r="H135" s="5"/>
      <c r="I135" s="65"/>
      <c r="J135" s="5"/>
      <c r="K135" s="5"/>
    </row>
    <row r="136" spans="2:11" ht="15" thickBot="1">
      <c r="B136" s="2422"/>
      <c r="C136" s="72"/>
      <c r="D136" s="32" t="s">
        <v>537</v>
      </c>
      <c r="E136" s="136"/>
      <c r="F136" s="5"/>
      <c r="G136" s="5"/>
      <c r="H136" s="5"/>
      <c r="I136" s="65"/>
      <c r="J136" s="5"/>
      <c r="K136" s="5"/>
    </row>
    <row r="137" spans="2:11" ht="15" thickBot="1">
      <c r="B137" s="2423"/>
      <c r="C137" s="2"/>
      <c r="D137" s="32" t="s">
        <v>815</v>
      </c>
      <c r="E137" s="136"/>
      <c r="F137" s="5"/>
      <c r="G137" s="5"/>
      <c r="H137" s="5"/>
      <c r="I137" s="65"/>
      <c r="J137" s="5"/>
      <c r="K137" s="5"/>
    </row>
    <row r="138" spans="2:11" ht="15" thickBot="1">
      <c r="B138" s="1"/>
      <c r="C138" s="63"/>
      <c r="D138" s="5"/>
      <c r="E138" s="5"/>
      <c r="F138" s="5"/>
      <c r="G138" s="5"/>
      <c r="H138" s="5"/>
      <c r="I138" s="65"/>
      <c r="J138" s="5"/>
      <c r="K138" s="5"/>
    </row>
    <row r="139" spans="2:11" ht="15" customHeight="1" thickBot="1">
      <c r="B139" s="135" t="s">
        <v>820</v>
      </c>
      <c r="C139" s="100"/>
      <c r="D139" s="100"/>
      <c r="E139" s="101"/>
      <c r="G139" s="5"/>
      <c r="H139" s="5"/>
      <c r="I139" s="65"/>
      <c r="J139" s="5"/>
      <c r="K139" s="5"/>
    </row>
    <row r="140" spans="2:11" ht="24.6" thickBot="1">
      <c r="B140" s="37" t="s">
        <v>821</v>
      </c>
      <c r="C140" s="32" t="s">
        <v>822</v>
      </c>
      <c r="D140" s="32" t="s">
        <v>823</v>
      </c>
      <c r="E140" s="32" t="s">
        <v>824</v>
      </c>
      <c r="F140" s="5"/>
      <c r="G140" s="5"/>
      <c r="H140" s="5"/>
      <c r="I140" s="65"/>
      <c r="J140" s="5"/>
    </row>
    <row r="141" spans="2:11" ht="72.599999999999994" thickBot="1">
      <c r="B141" s="39">
        <v>42401</v>
      </c>
      <c r="C141" s="32">
        <v>0.01</v>
      </c>
      <c r="D141" s="40" t="s">
        <v>1822</v>
      </c>
      <c r="E141" s="32"/>
      <c r="F141" s="5"/>
      <c r="G141" s="5"/>
      <c r="H141" s="5"/>
      <c r="I141" s="65"/>
      <c r="J141" s="5"/>
    </row>
    <row r="142" spans="2:11" ht="15" thickBot="1">
      <c r="B142" s="3"/>
      <c r="C142" s="73"/>
      <c r="D142" s="5"/>
      <c r="E142" s="5"/>
      <c r="F142" s="5"/>
      <c r="G142" s="5"/>
      <c r="H142" s="5"/>
      <c r="I142" s="65"/>
      <c r="J142" s="5"/>
      <c r="K142" s="5"/>
    </row>
    <row r="143" spans="2:11" ht="15" thickBot="1">
      <c r="B143" s="105" t="s">
        <v>702</v>
      </c>
      <c r="C143" s="74"/>
      <c r="D143" s="5"/>
      <c r="E143" s="5"/>
      <c r="F143" s="5"/>
      <c r="G143" s="5"/>
      <c r="H143" s="5"/>
      <c r="I143" s="65"/>
      <c r="J143" s="5"/>
      <c r="K143" s="5"/>
    </row>
    <row r="144" spans="2:11" ht="9.75" customHeight="1" thickBot="1">
      <c r="B144" s="2741"/>
      <c r="C144" s="2742"/>
      <c r="D144" s="2742"/>
      <c r="E144" s="2743"/>
      <c r="F144" s="5"/>
      <c r="G144" s="5"/>
      <c r="H144" s="5"/>
      <c r="I144" s="65"/>
      <c r="J144" s="5"/>
      <c r="K144" s="5"/>
    </row>
    <row r="145" spans="2:11" ht="15" thickBot="1">
      <c r="B145" s="5"/>
      <c r="D145" s="5"/>
      <c r="E145" s="5"/>
      <c r="F145" s="5"/>
      <c r="G145" s="5"/>
      <c r="H145" s="5"/>
      <c r="I145" s="65"/>
      <c r="J145" s="5"/>
      <c r="K145" s="5"/>
    </row>
    <row r="146" spans="2:11" ht="24.6" thickBot="1">
      <c r="B146" s="41" t="s">
        <v>826</v>
      </c>
      <c r="C146" s="75"/>
      <c r="D146" s="5"/>
      <c r="E146" s="5"/>
      <c r="F146" s="5"/>
      <c r="G146" s="5"/>
      <c r="H146" s="5"/>
      <c r="I146" s="65"/>
      <c r="J146" s="5"/>
      <c r="K146" s="5"/>
    </row>
    <row r="147" spans="2:11" ht="15" thickBot="1">
      <c r="B147" s="1" t="s">
        <v>618</v>
      </c>
      <c r="C147" s="63"/>
      <c r="D147" s="5"/>
      <c r="E147" s="5"/>
      <c r="F147" s="5"/>
      <c r="G147" s="5"/>
      <c r="H147" s="5"/>
      <c r="I147" s="65"/>
      <c r="J147" s="5"/>
      <c r="K147" s="5"/>
    </row>
    <row r="148" spans="2:11" ht="60.6" thickBot="1">
      <c r="B148" s="42" t="s">
        <v>827</v>
      </c>
      <c r="C148" s="76"/>
      <c r="D148" s="34" t="s">
        <v>1823</v>
      </c>
      <c r="E148" s="5"/>
      <c r="F148" s="5"/>
      <c r="G148" s="5"/>
      <c r="H148" s="5"/>
      <c r="I148" s="65"/>
      <c r="J148" s="5"/>
      <c r="K148" s="5"/>
    </row>
    <row r="149" spans="2:11">
      <c r="B149" s="2421" t="s">
        <v>829</v>
      </c>
      <c r="C149" s="72"/>
      <c r="D149" s="43" t="s">
        <v>830</v>
      </c>
      <c r="E149" s="5"/>
      <c r="F149" s="5"/>
      <c r="G149" s="5"/>
      <c r="H149" s="5"/>
      <c r="I149" s="65"/>
      <c r="J149" s="5"/>
      <c r="K149" s="5"/>
    </row>
    <row r="150" spans="2:11" ht="108">
      <c r="B150" s="2422"/>
      <c r="C150" s="72"/>
      <c r="D150" s="36" t="s">
        <v>1824</v>
      </c>
      <c r="E150" s="5"/>
      <c r="F150" s="5"/>
      <c r="G150" s="5"/>
      <c r="H150" s="5"/>
      <c r="I150" s="65"/>
      <c r="J150" s="5"/>
      <c r="K150" s="5"/>
    </row>
    <row r="151" spans="2:11">
      <c r="B151" s="2422"/>
      <c r="C151" s="72"/>
      <c r="D151" s="43" t="s">
        <v>920</v>
      </c>
      <c r="E151" s="5"/>
      <c r="F151" s="5"/>
      <c r="G151" s="5"/>
      <c r="H151" s="5"/>
      <c r="I151" s="65"/>
      <c r="J151" s="5"/>
      <c r="K151" s="5"/>
    </row>
    <row r="152" spans="2:11">
      <c r="B152" s="2422"/>
      <c r="C152" s="72"/>
      <c r="D152" s="36" t="s">
        <v>834</v>
      </c>
      <c r="E152" s="5"/>
      <c r="F152" s="5"/>
      <c r="G152" s="5"/>
      <c r="H152" s="5"/>
      <c r="I152" s="65"/>
      <c r="J152" s="5"/>
      <c r="K152" s="5"/>
    </row>
    <row r="153" spans="2:11">
      <c r="B153" s="2422"/>
      <c r="C153" s="72"/>
      <c r="D153" s="36" t="s">
        <v>835</v>
      </c>
      <c r="E153" s="5"/>
      <c r="F153" s="5"/>
      <c r="G153" s="5"/>
      <c r="H153" s="5"/>
      <c r="I153" s="65"/>
      <c r="J153" s="5"/>
      <c r="K153" s="5"/>
    </row>
    <row r="154" spans="2:11">
      <c r="B154" s="2422"/>
      <c r="C154" s="72"/>
      <c r="D154" s="36" t="s">
        <v>1747</v>
      </c>
      <c r="E154" s="5"/>
      <c r="F154" s="5"/>
      <c r="G154" s="5"/>
      <c r="H154" s="5"/>
      <c r="I154" s="65"/>
      <c r="J154" s="5"/>
      <c r="K154" s="5"/>
    </row>
    <row r="155" spans="2:11" ht="36.6" thickBot="1">
      <c r="B155" s="2423"/>
      <c r="C155" s="2"/>
      <c r="D155" s="32" t="s">
        <v>1825</v>
      </c>
      <c r="E155" s="5"/>
      <c r="F155" s="5"/>
      <c r="G155" s="5"/>
      <c r="H155" s="5"/>
      <c r="I155" s="65"/>
      <c r="J155" s="5"/>
      <c r="K155" s="5"/>
    </row>
    <row r="156" spans="2:11" ht="24.6" thickBot="1">
      <c r="B156" s="37" t="s">
        <v>842</v>
      </c>
      <c r="C156" s="2"/>
      <c r="D156" s="32"/>
      <c r="E156" s="5"/>
      <c r="F156" s="5"/>
      <c r="G156" s="5"/>
      <c r="H156" s="5"/>
      <c r="I156" s="65"/>
      <c r="J156" s="5"/>
      <c r="K156" s="5"/>
    </row>
    <row r="157" spans="2:11" ht="312">
      <c r="B157" s="2421" t="s">
        <v>843</v>
      </c>
      <c r="C157" s="72"/>
      <c r="D157" s="36" t="s">
        <v>1826</v>
      </c>
      <c r="E157" s="5"/>
      <c r="F157" s="5"/>
      <c r="G157" s="5"/>
      <c r="H157" s="5"/>
      <c r="I157" s="65"/>
      <c r="J157" s="5"/>
      <c r="K157" s="5"/>
    </row>
    <row r="158" spans="2:11" ht="324">
      <c r="B158" s="2422"/>
      <c r="C158" s="72"/>
      <c r="D158" s="36" t="s">
        <v>1827</v>
      </c>
      <c r="E158" s="5"/>
      <c r="F158" s="5"/>
      <c r="G158" s="5"/>
      <c r="H158" s="5"/>
      <c r="I158" s="65"/>
      <c r="J158" s="5"/>
      <c r="K158" s="5"/>
    </row>
    <row r="159" spans="2:11" ht="108">
      <c r="B159" s="2422"/>
      <c r="C159" s="72"/>
      <c r="D159" s="36" t="s">
        <v>1828</v>
      </c>
      <c r="E159" s="5"/>
      <c r="F159" s="5"/>
      <c r="G159" s="5"/>
      <c r="H159" s="5"/>
      <c r="I159" s="65"/>
      <c r="J159" s="5"/>
      <c r="K159" s="5"/>
    </row>
    <row r="160" spans="2:11" ht="72.599999999999994" thickBot="1">
      <c r="B160" s="2423"/>
      <c r="C160" s="2"/>
      <c r="D160" s="32" t="s">
        <v>1829</v>
      </c>
      <c r="E160" s="5"/>
      <c r="F160" s="5"/>
      <c r="G160" s="5"/>
      <c r="H160" s="5"/>
      <c r="I160" s="65"/>
      <c r="J160" s="5"/>
      <c r="K160" s="5"/>
    </row>
    <row r="161" spans="2:11" ht="24">
      <c r="B161" s="2421" t="s">
        <v>860</v>
      </c>
      <c r="C161" s="72"/>
      <c r="D161" s="43" t="s">
        <v>31</v>
      </c>
      <c r="E161" s="5"/>
      <c r="F161" s="5"/>
      <c r="G161" s="5"/>
      <c r="H161" s="5"/>
      <c r="I161" s="65"/>
      <c r="J161" s="5"/>
      <c r="K161" s="5"/>
    </row>
    <row r="162" spans="2:11">
      <c r="B162" s="2422"/>
      <c r="C162" s="72"/>
      <c r="D162" s="13"/>
      <c r="E162" s="5"/>
      <c r="F162" s="5"/>
      <c r="G162" s="5"/>
      <c r="H162" s="5"/>
      <c r="I162" s="65"/>
      <c r="J162" s="5"/>
      <c r="K162" s="5"/>
    </row>
    <row r="163" spans="2:11">
      <c r="B163" s="2422"/>
      <c r="C163" s="72"/>
      <c r="D163" s="36" t="s">
        <v>861</v>
      </c>
      <c r="E163" s="5"/>
      <c r="F163" s="5"/>
      <c r="G163" s="5"/>
      <c r="H163" s="5"/>
      <c r="I163" s="65"/>
      <c r="J163" s="5"/>
      <c r="K163" s="5"/>
    </row>
    <row r="164" spans="2:11" ht="38.4">
      <c r="B164" s="2422"/>
      <c r="C164" s="72"/>
      <c r="D164" s="36" t="s">
        <v>1830</v>
      </c>
      <c r="E164" s="5"/>
      <c r="F164" s="5"/>
      <c r="G164" s="5"/>
      <c r="H164" s="5"/>
      <c r="I164" s="65"/>
      <c r="J164" s="5"/>
      <c r="K164" s="5"/>
    </row>
    <row r="165" spans="2:11" ht="38.4">
      <c r="B165" s="2422"/>
      <c r="C165" s="72"/>
      <c r="D165" s="36" t="s">
        <v>1831</v>
      </c>
      <c r="E165" s="5"/>
      <c r="F165" s="5"/>
      <c r="G165" s="5"/>
      <c r="H165" s="5"/>
      <c r="I165" s="65"/>
      <c r="J165" s="5"/>
      <c r="K165" s="5"/>
    </row>
    <row r="166" spans="2:11" ht="60">
      <c r="B166" s="2422"/>
      <c r="C166" s="72"/>
      <c r="D166" s="36" t="s">
        <v>1832</v>
      </c>
      <c r="E166" s="5"/>
      <c r="F166" s="5"/>
      <c r="G166" s="5"/>
      <c r="H166" s="5"/>
      <c r="I166" s="65"/>
      <c r="J166" s="5"/>
      <c r="K166" s="5"/>
    </row>
    <row r="167" spans="2:11" ht="98.4">
      <c r="B167" s="2422"/>
      <c r="C167" s="72"/>
      <c r="D167" s="36" t="s">
        <v>1833</v>
      </c>
      <c r="E167" s="5"/>
      <c r="F167" s="5"/>
      <c r="G167" s="5"/>
      <c r="H167" s="5"/>
      <c r="I167" s="65"/>
      <c r="J167" s="5"/>
      <c r="K167" s="5"/>
    </row>
    <row r="168" spans="2:11" ht="24">
      <c r="B168" s="2422"/>
      <c r="C168" s="72"/>
      <c r="D168" s="43" t="s">
        <v>1834</v>
      </c>
      <c r="E168" s="5"/>
      <c r="F168" s="5"/>
      <c r="G168" s="5"/>
      <c r="H168" s="5"/>
      <c r="I168" s="65"/>
      <c r="J168" s="5"/>
      <c r="K168" s="5"/>
    </row>
    <row r="169" spans="2:11">
      <c r="B169" s="2422"/>
      <c r="C169" s="72"/>
      <c r="D169" s="13"/>
      <c r="E169" s="5"/>
      <c r="F169" s="5"/>
      <c r="G169" s="5"/>
      <c r="H169" s="5"/>
      <c r="I169" s="65"/>
      <c r="J169" s="5"/>
      <c r="K169" s="5"/>
    </row>
    <row r="170" spans="2:11">
      <c r="B170" s="2422"/>
      <c r="C170" s="72"/>
      <c r="D170" s="36" t="s">
        <v>861</v>
      </c>
      <c r="E170" s="5"/>
      <c r="F170" s="5"/>
      <c r="G170" s="5"/>
      <c r="H170" s="5"/>
      <c r="I170" s="65"/>
      <c r="J170" s="5"/>
      <c r="K170" s="5"/>
    </row>
    <row r="171" spans="2:11" ht="38.4">
      <c r="B171" s="2422"/>
      <c r="C171" s="72"/>
      <c r="D171" s="36" t="s">
        <v>1835</v>
      </c>
      <c r="E171" s="5"/>
      <c r="F171" s="5"/>
      <c r="G171" s="5"/>
      <c r="H171" s="5"/>
      <c r="I171" s="65"/>
      <c r="J171" s="5"/>
      <c r="K171" s="5"/>
    </row>
    <row r="172" spans="2:11" ht="38.4">
      <c r="B172" s="2422"/>
      <c r="C172" s="72"/>
      <c r="D172" s="36" t="s">
        <v>1836</v>
      </c>
      <c r="E172" s="5"/>
      <c r="F172" s="5"/>
      <c r="G172" s="5"/>
      <c r="H172" s="5"/>
      <c r="I172" s="65"/>
      <c r="J172" s="5"/>
      <c r="K172" s="5"/>
    </row>
    <row r="173" spans="2:11" ht="38.4">
      <c r="B173" s="2422"/>
      <c r="C173" s="72"/>
      <c r="D173" s="36" t="s">
        <v>1837</v>
      </c>
      <c r="E173" s="5"/>
      <c r="F173" s="5"/>
      <c r="G173" s="5"/>
      <c r="H173" s="5"/>
      <c r="I173" s="65"/>
      <c r="J173" s="5"/>
      <c r="K173" s="5"/>
    </row>
    <row r="174" spans="2:11" ht="60">
      <c r="B174" s="2422"/>
      <c r="C174" s="72"/>
      <c r="D174" s="36" t="s">
        <v>1832</v>
      </c>
      <c r="E174" s="5"/>
      <c r="F174" s="5"/>
      <c r="G174" s="5"/>
      <c r="H174" s="5"/>
      <c r="I174" s="65"/>
      <c r="J174" s="5"/>
      <c r="K174" s="5"/>
    </row>
    <row r="175" spans="2:11" ht="60.6" thickBot="1">
      <c r="B175" s="2423"/>
      <c r="C175" s="2"/>
      <c r="D175" s="32" t="s">
        <v>1838</v>
      </c>
      <c r="E175" s="5"/>
      <c r="F175" s="5"/>
      <c r="G175" s="5"/>
      <c r="H175" s="5"/>
      <c r="I175" s="65"/>
      <c r="J175" s="5"/>
      <c r="K175" s="5"/>
    </row>
    <row r="176" spans="2:11">
      <c r="B176" s="5"/>
      <c r="D176" s="5"/>
      <c r="E176" s="5"/>
      <c r="F176" s="5"/>
      <c r="G176" s="5"/>
      <c r="H176" s="5"/>
      <c r="I176" s="65"/>
      <c r="J176" s="5"/>
      <c r="K176" s="5"/>
    </row>
    <row r="177" spans="2:11">
      <c r="B177" s="5"/>
      <c r="D177" s="5"/>
      <c r="E177" s="5"/>
      <c r="F177" s="5"/>
      <c r="G177" s="5"/>
      <c r="H177" s="5"/>
      <c r="I177" s="65"/>
      <c r="J177" s="5"/>
      <c r="K177" s="5"/>
    </row>
    <row r="178" spans="2:11">
      <c r="B178" s="5"/>
      <c r="D178" s="5"/>
      <c r="E178" s="5"/>
      <c r="F178" s="5"/>
      <c r="G178" s="5"/>
      <c r="H178" s="5"/>
      <c r="I178" s="65"/>
      <c r="J178" s="5"/>
      <c r="K178" s="5"/>
    </row>
    <row r="179" spans="2:11">
      <c r="B179" s="5"/>
      <c r="D179" s="5"/>
      <c r="E179" s="5"/>
      <c r="F179" s="5"/>
      <c r="G179" s="5"/>
      <c r="H179" s="5"/>
      <c r="I179" s="65"/>
      <c r="J179" s="5"/>
      <c r="K179" s="5"/>
    </row>
    <row r="180" spans="2:11">
      <c r="B180" s="5"/>
      <c r="D180" s="5"/>
      <c r="E180" s="5"/>
      <c r="F180" s="5"/>
      <c r="G180" s="5"/>
      <c r="H180" s="5"/>
      <c r="I180" s="65"/>
      <c r="J180" s="5"/>
      <c r="K180" s="5"/>
    </row>
    <row r="181" spans="2:11">
      <c r="B181" s="5"/>
      <c r="D181" s="5"/>
      <c r="E181" s="5"/>
      <c r="F181" s="5"/>
      <c r="G181" s="5"/>
      <c r="H181" s="5"/>
      <c r="I181" s="65"/>
      <c r="J181" s="5"/>
      <c r="K181" s="5"/>
    </row>
    <row r="182" spans="2:11">
      <c r="B182" s="5"/>
      <c r="D182" s="5"/>
      <c r="E182" s="5"/>
      <c r="F182" s="5"/>
      <c r="G182" s="5"/>
      <c r="H182" s="5"/>
      <c r="I182" s="65"/>
      <c r="J182" s="5"/>
      <c r="K182" s="5"/>
    </row>
    <row r="183" spans="2:11">
      <c r="B183" s="5"/>
      <c r="D183" s="5"/>
      <c r="E183" s="5"/>
      <c r="F183" s="5"/>
      <c r="G183" s="5"/>
      <c r="H183" s="5"/>
      <c r="I183" s="65"/>
      <c r="J183" s="5"/>
      <c r="K183" s="5"/>
    </row>
    <row r="184" spans="2:11">
      <c r="B184" s="5"/>
      <c r="D184" s="5"/>
      <c r="E184" s="5"/>
      <c r="F184" s="5"/>
      <c r="G184" s="5"/>
      <c r="H184" s="5"/>
      <c r="I184" s="65"/>
      <c r="J184" s="5"/>
      <c r="K184" s="5"/>
    </row>
    <row r="185" spans="2:11">
      <c r="B185" s="5"/>
      <c r="D185" s="5"/>
      <c r="E185" s="5"/>
      <c r="F185" s="5"/>
      <c r="G185" s="5"/>
      <c r="H185" s="5"/>
      <c r="I185" s="65"/>
      <c r="J185" s="5"/>
      <c r="K185" s="5"/>
    </row>
    <row r="186" spans="2:11">
      <c r="B186" s="5"/>
      <c r="D186" s="5"/>
      <c r="E186" s="5"/>
      <c r="F186" s="5"/>
      <c r="G186" s="5"/>
      <c r="H186" s="5"/>
      <c r="I186" s="65"/>
      <c r="J186" s="5"/>
      <c r="K186" s="5"/>
    </row>
    <row r="187" spans="2:11">
      <c r="B187" s="5"/>
      <c r="D187" s="5"/>
      <c r="E187" s="5"/>
      <c r="F187" s="5"/>
      <c r="G187" s="5"/>
      <c r="H187" s="5"/>
      <c r="I187" s="65"/>
      <c r="J187" s="5"/>
      <c r="K187" s="5"/>
    </row>
    <row r="188" spans="2:11">
      <c r="B188" s="5"/>
      <c r="D188" s="5"/>
      <c r="E188" s="5"/>
      <c r="F188" s="5"/>
      <c r="G188" s="5"/>
      <c r="H188" s="5"/>
      <c r="I188" s="65"/>
      <c r="J188" s="5"/>
      <c r="K188" s="5"/>
    </row>
    <row r="189" spans="2:11">
      <c r="B189" s="5"/>
      <c r="D189" s="5"/>
      <c r="E189" s="5"/>
      <c r="F189" s="5"/>
      <c r="G189" s="5"/>
      <c r="H189" s="5"/>
      <c r="I189" s="65"/>
      <c r="J189" s="5"/>
      <c r="K189" s="5"/>
    </row>
    <row r="190" spans="2:11">
      <c r="B190" s="5"/>
      <c r="D190" s="5"/>
      <c r="E190" s="5"/>
      <c r="F190" s="5"/>
      <c r="G190" s="5"/>
      <c r="H190" s="5"/>
      <c r="I190" s="65"/>
      <c r="J190" s="5"/>
      <c r="K190" s="5"/>
    </row>
    <row r="191" spans="2:11">
      <c r="B191" s="5"/>
      <c r="D191" s="5"/>
      <c r="E191" s="5"/>
      <c r="F191" s="5"/>
      <c r="G191" s="5"/>
      <c r="H191" s="5"/>
      <c r="I191" s="65"/>
      <c r="J191" s="5"/>
      <c r="K191" s="5"/>
    </row>
  </sheetData>
  <mergeCells count="59">
    <mergeCell ref="A1:P1"/>
    <mergeCell ref="A2:P2"/>
    <mergeCell ref="A3:P3"/>
    <mergeCell ref="A4:D4"/>
    <mergeCell ref="A5:P5"/>
    <mergeCell ref="B10:D10"/>
    <mergeCell ref="F10:R10"/>
    <mergeCell ref="F11:R11"/>
    <mergeCell ref="E12:Q12"/>
    <mergeCell ref="E13:Q13"/>
    <mergeCell ref="B144:E144"/>
    <mergeCell ref="B149:B155"/>
    <mergeCell ref="B157:B160"/>
    <mergeCell ref="B161:B175"/>
    <mergeCell ref="D27:D28"/>
    <mergeCell ref="E27:E28"/>
    <mergeCell ref="D50:I50"/>
    <mergeCell ref="D51:I51"/>
    <mergeCell ref="D52:I52"/>
    <mergeCell ref="D57:I57"/>
    <mergeCell ref="D58:I58"/>
    <mergeCell ref="D59:I59"/>
    <mergeCell ref="D64:I64"/>
    <mergeCell ref="D97:I97"/>
    <mergeCell ref="D66:I66"/>
    <mergeCell ref="D72:I72"/>
    <mergeCell ref="G27:G28"/>
    <mergeCell ref="B15:B108"/>
    <mergeCell ref="D15:I15"/>
    <mergeCell ref="D16:I16"/>
    <mergeCell ref="D17:I17"/>
    <mergeCell ref="D20:I20"/>
    <mergeCell ref="D25:I25"/>
    <mergeCell ref="D26:I26"/>
    <mergeCell ref="D37:I37"/>
    <mergeCell ref="D38:I38"/>
    <mergeCell ref="F27:F28"/>
    <mergeCell ref="D65:I65"/>
    <mergeCell ref="D39:I39"/>
    <mergeCell ref="D43:I43"/>
    <mergeCell ref="D44:I44"/>
    <mergeCell ref="D45:I45"/>
    <mergeCell ref="D78:I78"/>
    <mergeCell ref="D79:I79"/>
    <mergeCell ref="D83:I83"/>
    <mergeCell ref="D84:I84"/>
    <mergeCell ref="D73:I73"/>
    <mergeCell ref="D89:I89"/>
    <mergeCell ref="D90:I90"/>
    <mergeCell ref="D91:I91"/>
    <mergeCell ref="D96:I96"/>
    <mergeCell ref="B130:E130"/>
    <mergeCell ref="B131:B137"/>
    <mergeCell ref="D98:I98"/>
    <mergeCell ref="D102:I102"/>
    <mergeCell ref="D103:I103"/>
    <mergeCell ref="D104:I104"/>
    <mergeCell ref="B121:E121"/>
    <mergeCell ref="B122:B128"/>
  </mergeCells>
  <conditionalFormatting sqref="E12:Q12">
    <cfRule type="expression" dxfId="35" priority="1">
      <formula>E11="SI SE REPORTA"</formula>
    </cfRule>
  </conditionalFormatting>
  <conditionalFormatting sqref="F10">
    <cfRule type="notContainsBlanks" dxfId="34" priority="4">
      <formula>LEN(TRIM(F10))&gt;0</formula>
    </cfRule>
  </conditionalFormatting>
  <conditionalFormatting sqref="F116">
    <cfRule type="containsText" dxfId="33" priority="5" operator="containsText" text="ERROR">
      <formula>NOT(ISERROR(SEARCH("ERROR",F116)))</formula>
    </cfRule>
  </conditionalFormatting>
  <conditionalFormatting sqref="F11:Q11">
    <cfRule type="expression" dxfId="32" priority="2">
      <formula>E11="NO SE REPORTA"</formula>
    </cfRule>
    <cfRule type="expression" dxfId="31" priority="3">
      <formula>E10="NO APLICA"</formula>
    </cfRule>
  </conditionalFormatting>
  <conditionalFormatting sqref="R11">
    <cfRule type="expression" dxfId="30" priority="60">
      <formula>#REF!="NO SE REPORTA"</formula>
    </cfRule>
    <cfRule type="expression" dxfId="29" priority="61">
      <formula>#REF!="NO APLICA"</formula>
    </cfRule>
  </conditionalFormatting>
  <dataValidations count="5">
    <dataValidation type="whole" operator="greaterThanOrEqual" allowBlank="1" showErrorMessage="1" errorTitle="ERROR" error="Escriba un número igual o mayor que 0" promptTitle="ERROR" prompt="Escriba un número igual o mayor que 0" sqref="E93:H94 E54:H55 E81:E82 E18:E19 E106:H107 E41:E42 E47:H48 E61:E63 E75:H76 E86:H87 E68:H69 E22:H23 E100:E101 E29:H35" xr:uid="{71B9858D-2002-4F6C-BB99-7AC39A17AB37}">
      <formula1>0</formula1>
    </dataValidation>
    <dataValidation allowBlank="1" showInputMessage="1" showErrorMessage="1" sqref="E56:H56 E70:I70 I68:I69 I75:I77 E77:H77 E24:H24 E36:H36 I47:I49 E49:H49 I54:I56" xr:uid="{5405038B-5E32-4781-927F-619B72C86E8F}"/>
    <dataValidation type="decimal" allowBlank="1" showInputMessage="1" showErrorMessage="1" errorTitle="ERROR" error="Escriba un valor entre 0% y 100%" sqref="F111:F115" xr:uid="{A6974848-87DE-42C1-BC95-946DE86C0040}">
      <formula1>0</formula1>
      <formula2>1</formula2>
    </dataValidation>
    <dataValidation type="list" allowBlank="1" showInputMessage="1" showErrorMessage="1" sqref="E11" xr:uid="{46EC2550-D8B2-4A0C-896A-FA6F41070672}">
      <formula1>REPORTE</formula1>
    </dataValidation>
    <dataValidation type="list" allowBlank="1" showInputMessage="1" showErrorMessage="1" sqref="E10" xr:uid="{5BAD9955-A001-4019-BB02-2BAD88565389}">
      <formula1>SI</formula1>
    </dataValidation>
  </dataValidations>
  <hyperlinks>
    <hyperlink ref="B9" location="'ANEXO 3'!A1" display="VOLVER AL INDICE" xr:uid="{D74AEAFC-8299-4E0E-A298-8120217D2CAA}"/>
    <hyperlink ref="E126" r:id="rId1" display="bcoll@crautonoma.gov.co" xr:uid="{AF5EA0F2-B8FC-441A-B475-414740191916}"/>
  </hyperlinks>
  <pageMargins left="0.25" right="0.25" top="0.75" bottom="0.75" header="0.3" footer="0.3"/>
  <pageSetup paperSize="178" orientation="landscape" horizontalDpi="1200" verticalDpi="1200"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B19"/>
  <sheetViews>
    <sheetView workbookViewId="0">
      <selection sqref="A1:B1"/>
    </sheetView>
  </sheetViews>
  <sheetFormatPr baseColWidth="10" defaultColWidth="11.44140625" defaultRowHeight="13.8"/>
  <cols>
    <col min="1" max="1" width="34.109375" style="387" customWidth="1"/>
    <col min="2" max="2" width="70.44140625" style="387" customWidth="1"/>
    <col min="3" max="16384" width="11.44140625" style="387"/>
  </cols>
  <sheetData>
    <row r="1" spans="1:2" ht="14.4" thickBot="1">
      <c r="A1" s="2331"/>
      <c r="B1" s="2331"/>
    </row>
    <row r="2" spans="1:2" ht="14.4" thickBot="1">
      <c r="A2" s="2332" t="s">
        <v>486</v>
      </c>
      <c r="B2" s="2333"/>
    </row>
    <row r="3" spans="1:2" ht="14.4" thickBot="1">
      <c r="A3" s="2334" t="s">
        <v>487</v>
      </c>
      <c r="B3" s="2335"/>
    </row>
    <row r="4" spans="1:2" ht="14.4" thickBot="1">
      <c r="A4" s="388" t="s">
        <v>488</v>
      </c>
      <c r="B4" s="388" t="s">
        <v>489</v>
      </c>
    </row>
    <row r="5" spans="1:2" ht="28.2" thickBot="1">
      <c r="A5" s="389" t="s">
        <v>490</v>
      </c>
      <c r="B5" s="390" t="s">
        <v>491</v>
      </c>
    </row>
    <row r="6" spans="1:2" ht="15" thickTop="1" thickBot="1">
      <c r="A6" s="391" t="s">
        <v>492</v>
      </c>
      <c r="B6" s="390" t="s">
        <v>493</v>
      </c>
    </row>
    <row r="7" spans="1:2" ht="28.8" thickTop="1" thickBot="1">
      <c r="A7" s="391" t="s">
        <v>494</v>
      </c>
      <c r="B7" s="392" t="s">
        <v>495</v>
      </c>
    </row>
    <row r="8" spans="1:2" ht="56.4" thickTop="1" thickBot="1">
      <c r="A8" s="391" t="s">
        <v>496</v>
      </c>
      <c r="B8" s="390" t="s">
        <v>497</v>
      </c>
    </row>
    <row r="9" spans="1:2" ht="56.4" thickTop="1" thickBot="1">
      <c r="A9" s="393" t="s">
        <v>498</v>
      </c>
      <c r="B9" s="390" t="s">
        <v>499</v>
      </c>
    </row>
    <row r="10" spans="1:2" ht="28.8" thickTop="1" thickBot="1">
      <c r="A10" s="393" t="s">
        <v>500</v>
      </c>
      <c r="B10" s="390" t="s">
        <v>501</v>
      </c>
    </row>
    <row r="11" spans="1:2" ht="28.8" thickTop="1" thickBot="1">
      <c r="A11" s="394" t="s">
        <v>502</v>
      </c>
      <c r="B11" s="392" t="s">
        <v>503</v>
      </c>
    </row>
    <row r="12" spans="1:2" ht="28.8" thickTop="1" thickBot="1">
      <c r="A12" s="391" t="s">
        <v>504</v>
      </c>
      <c r="B12" s="392" t="s">
        <v>505</v>
      </c>
    </row>
    <row r="13" spans="1:2" ht="97.8" thickTop="1" thickBot="1">
      <c r="A13" s="394" t="s">
        <v>506</v>
      </c>
      <c r="B13" s="390" t="s">
        <v>507</v>
      </c>
    </row>
    <row r="14" spans="1:2" ht="56.4" thickTop="1" thickBot="1">
      <c r="A14" s="394" t="s">
        <v>508</v>
      </c>
      <c r="B14" s="390" t="s">
        <v>509</v>
      </c>
    </row>
    <row r="15" spans="1:2" ht="84" thickTop="1" thickBot="1">
      <c r="A15" s="395" t="s">
        <v>510</v>
      </c>
      <c r="B15" s="392" t="s">
        <v>511</v>
      </c>
    </row>
    <row r="16" spans="1:2" ht="15" thickTop="1" thickBot="1">
      <c r="A16" s="391" t="s">
        <v>512</v>
      </c>
      <c r="B16" s="392" t="s">
        <v>513</v>
      </c>
    </row>
    <row r="17" spans="1:2" ht="28.8" thickTop="1" thickBot="1">
      <c r="A17" s="396" t="s">
        <v>514</v>
      </c>
      <c r="B17" s="392" t="s">
        <v>515</v>
      </c>
    </row>
    <row r="18" spans="1:2" ht="28.8" thickTop="1" thickBot="1">
      <c r="A18" s="391" t="s">
        <v>516</v>
      </c>
      <c r="B18" s="397" t="s">
        <v>517</v>
      </c>
    </row>
    <row r="19" spans="1:2" ht="14.4" thickTop="1"/>
  </sheetData>
  <mergeCells count="3">
    <mergeCell ref="A1:B1"/>
    <mergeCell ref="A2:B2"/>
    <mergeCell ref="A3:B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3"/>
  <dimension ref="A1:U179"/>
  <sheetViews>
    <sheetView topLeftCell="A4" zoomScaleNormal="100" workbookViewId="0">
      <selection activeCell="F19" sqref="F19"/>
    </sheetView>
  </sheetViews>
  <sheetFormatPr baseColWidth="10" defaultColWidth="11.44140625" defaultRowHeight="14.4"/>
  <cols>
    <col min="1" max="1" width="1.88671875" customWidth="1"/>
    <col min="2" max="2" width="12.88671875" customWidth="1"/>
    <col min="3" max="3" width="5" style="65" bestFit="1" customWidth="1"/>
    <col min="4" max="4" width="34.88671875" customWidth="1"/>
    <col min="5" max="5" width="17.6640625" customWidth="1"/>
    <col min="10" max="10" width="3.44140625" customWidth="1"/>
    <col min="11" max="11" width="11.44140625" hidden="1" customWidth="1"/>
    <col min="12" max="12" width="34.3320312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
        <v>520</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32</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539">
        <v>2025</v>
      </c>
      <c r="D8" s="164">
        <f>IF(E10="NO APLICA","NO APLICA",IF(E11="NO SE REPORTA","SIN INFORMACION",+F21))</f>
        <v>0.2391304347826087</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63.75" customHeight="1">
      <c r="B12" s="290"/>
      <c r="C12" s="66"/>
      <c r="D12" s="141" t="str">
        <f>IF(E11="SI SE REPORTA","¿Qué programas o proyectos del Plan de Acción están asociados al indicador? ","")</f>
        <v xml:space="preserve">¿Qué programas o proyectos del Plan de Acción están asociados al indicador? </v>
      </c>
      <c r="E12" s="2547" t="s">
        <v>1839</v>
      </c>
      <c r="F12" s="2547"/>
      <c r="G12" s="2547"/>
      <c r="H12" s="2547"/>
      <c r="I12" s="2547"/>
      <c r="J12" s="2547"/>
      <c r="K12" s="2547"/>
      <c r="L12" s="2547"/>
      <c r="M12" s="2547"/>
      <c r="N12" s="2547"/>
      <c r="O12" s="2547"/>
      <c r="P12" s="2547"/>
      <c r="Q12" s="2547"/>
      <c r="R12" s="2547"/>
    </row>
    <row r="13" spans="1:21" ht="21.9" customHeight="1">
      <c r="B13" s="290"/>
      <c r="C13" s="66"/>
      <c r="D13" s="141" t="s">
        <v>746</v>
      </c>
      <c r="E13" s="2753"/>
      <c r="F13" s="2754"/>
      <c r="G13" s="2754"/>
      <c r="H13" s="2754"/>
      <c r="I13" s="2754"/>
      <c r="J13" s="2754"/>
      <c r="K13" s="2754"/>
      <c r="L13" s="2754"/>
      <c r="M13" s="2754"/>
      <c r="N13" s="2754"/>
      <c r="O13" s="2754"/>
      <c r="P13" s="2754"/>
      <c r="Q13" s="2754"/>
      <c r="R13" s="2755"/>
    </row>
    <row r="14" spans="1:21" ht="6.9" customHeight="1" thickBot="1">
      <c r="B14" s="290"/>
      <c r="D14" s="5"/>
      <c r="E14" s="5"/>
      <c r="F14" s="5"/>
      <c r="G14" s="5"/>
      <c r="H14" s="5"/>
      <c r="I14" s="5"/>
      <c r="J14" s="5"/>
      <c r="K14" s="5"/>
    </row>
    <row r="15" spans="1:21" ht="15" thickBot="1">
      <c r="B15" s="2421" t="s">
        <v>747</v>
      </c>
      <c r="C15" s="67"/>
      <c r="D15" s="2412"/>
      <c r="E15" s="2413"/>
      <c r="F15" s="2413"/>
      <c r="G15" s="2413"/>
      <c r="H15" s="2413"/>
      <c r="I15" s="2414"/>
      <c r="J15" s="5"/>
      <c r="K15" s="5"/>
    </row>
    <row r="16" spans="1:21" ht="15" thickBot="1">
      <c r="B16" s="2422"/>
      <c r="C16" s="70"/>
      <c r="D16" s="2434" t="s">
        <v>748</v>
      </c>
      <c r="E16" s="2435"/>
      <c r="F16" s="2435"/>
      <c r="G16" s="2435"/>
      <c r="H16" s="2435"/>
      <c r="I16" s="2436"/>
      <c r="J16" s="5"/>
      <c r="K16" s="5"/>
      <c r="L16" s="2744" t="s">
        <v>1840</v>
      </c>
      <c r="M16" s="2745"/>
      <c r="N16" s="2745"/>
      <c r="O16" s="2745"/>
      <c r="P16" s="2745"/>
      <c r="Q16" s="2746"/>
    </row>
    <row r="17" spans="2:17" ht="21.75" customHeight="1" thickBot="1">
      <c r="B17" s="2422"/>
      <c r="C17" s="72"/>
      <c r="D17" s="545" t="s">
        <v>904</v>
      </c>
      <c r="E17" s="552" t="s">
        <v>784</v>
      </c>
      <c r="F17" s="552" t="s">
        <v>1147</v>
      </c>
      <c r="G17" s="552" t="s">
        <v>1841</v>
      </c>
      <c r="H17" s="552" t="s">
        <v>1842</v>
      </c>
      <c r="I17" s="552" t="s">
        <v>905</v>
      </c>
      <c r="J17" s="5"/>
      <c r="K17" s="5"/>
      <c r="L17" s="764" t="s">
        <v>904</v>
      </c>
      <c r="M17" s="552">
        <v>2024</v>
      </c>
      <c r="N17" s="552">
        <v>2025</v>
      </c>
      <c r="O17" s="552">
        <v>2026</v>
      </c>
      <c r="P17" s="552">
        <v>2027</v>
      </c>
      <c r="Q17" s="552" t="s">
        <v>905</v>
      </c>
    </row>
    <row r="18" spans="2:17" ht="56.25" customHeight="1" thickBot="1">
      <c r="B18" s="2422"/>
      <c r="C18" s="72"/>
      <c r="D18" s="32" t="s">
        <v>1843</v>
      </c>
      <c r="E18" s="518">
        <v>423</v>
      </c>
      <c r="F18" s="518">
        <v>184</v>
      </c>
      <c r="G18" s="518"/>
      <c r="H18" s="518"/>
      <c r="I18" s="519">
        <f>SUM(E18:H18)</f>
        <v>607</v>
      </c>
      <c r="J18" s="5"/>
      <c r="K18" s="5"/>
      <c r="L18" s="37" t="s">
        <v>1843</v>
      </c>
      <c r="M18" s="813">
        <v>423</v>
      </c>
      <c r="N18" s="765">
        <v>184</v>
      </c>
      <c r="O18" s="765"/>
      <c r="P18" s="765"/>
      <c r="Q18" s="766"/>
    </row>
    <row r="19" spans="2:17" ht="41.25" customHeight="1" thickBot="1">
      <c r="B19" s="2422"/>
      <c r="C19" s="72"/>
      <c r="D19" s="32" t="s">
        <v>1844</v>
      </c>
      <c r="E19" s="518">
        <v>112</v>
      </c>
      <c r="F19" s="518">
        <v>39</v>
      </c>
      <c r="G19" s="518"/>
      <c r="H19" s="518"/>
      <c r="I19" s="519">
        <f>SUM(E19:H19)</f>
        <v>151</v>
      </c>
      <c r="J19" s="5"/>
      <c r="K19" s="5"/>
      <c r="L19" s="37" t="s">
        <v>1844</v>
      </c>
      <c r="M19" s="813">
        <v>112</v>
      </c>
      <c r="N19" s="765">
        <v>39</v>
      </c>
      <c r="O19" s="765"/>
      <c r="P19" s="765"/>
      <c r="Q19" s="766"/>
    </row>
    <row r="20" spans="2:17" ht="39.75" customHeight="1" thickBot="1">
      <c r="B20" s="2422"/>
      <c r="C20" s="72"/>
      <c r="D20" s="32" t="s">
        <v>1845</v>
      </c>
      <c r="E20" s="518">
        <v>16</v>
      </c>
      <c r="F20" s="518">
        <v>5</v>
      </c>
      <c r="G20" s="518"/>
      <c r="H20" s="518"/>
      <c r="I20" s="519">
        <f>SUM(E20:H20)</f>
        <v>21</v>
      </c>
      <c r="J20" s="5"/>
      <c r="K20" s="5"/>
      <c r="L20" s="37" t="s">
        <v>1845</v>
      </c>
      <c r="M20" s="813">
        <v>16</v>
      </c>
      <c r="N20" s="765">
        <v>5</v>
      </c>
      <c r="O20" s="765"/>
      <c r="P20" s="765"/>
      <c r="Q20" s="766"/>
    </row>
    <row r="21" spans="2:17" ht="30" customHeight="1" thickBot="1">
      <c r="B21" s="2423"/>
      <c r="C21" s="2"/>
      <c r="D21" s="32" t="s">
        <v>1846</v>
      </c>
      <c r="E21" s="523">
        <f>+(E19+E20)/E18</f>
        <v>0.30260047281323876</v>
      </c>
      <c r="F21" s="523">
        <f>+(F19+F20)/F18</f>
        <v>0.2391304347826087</v>
      </c>
      <c r="G21" s="523" t="e">
        <f>+(G19+G20)/G18</f>
        <v>#DIV/0!</v>
      </c>
      <c r="H21" s="523" t="e">
        <f>+(H19+H20)/H18</f>
        <v>#DIV/0!</v>
      </c>
      <c r="I21" s="829">
        <f>+(I19+I20)/I18</f>
        <v>0.28336079077429982</v>
      </c>
      <c r="J21" s="5"/>
      <c r="K21" s="5"/>
      <c r="L21" s="37" t="s">
        <v>1846</v>
      </c>
      <c r="M21" s="767">
        <f>+(M19+M20)/M18</f>
        <v>0.30260047281323876</v>
      </c>
      <c r="N21" s="767">
        <f>+(N19+N20)/N18</f>
        <v>0.2391304347826087</v>
      </c>
      <c r="O21" s="767" t="e">
        <f>+(O19+O20)/O18</f>
        <v>#DIV/0!</v>
      </c>
      <c r="P21" s="767" t="e">
        <f>+(P19+P20)/P18</f>
        <v>#DIV/0!</v>
      </c>
      <c r="Q21" s="767" t="e">
        <f>+(Q19+Q20)/Q18</f>
        <v>#DIV/0!</v>
      </c>
    </row>
    <row r="22" spans="2:17" ht="36" customHeight="1" thickBot="1">
      <c r="B22" s="37" t="s">
        <v>803</v>
      </c>
      <c r="C22" s="71"/>
      <c r="D22" s="2424" t="s">
        <v>1847</v>
      </c>
      <c r="E22" s="2425"/>
      <c r="F22" s="2425"/>
      <c r="G22" s="2425"/>
      <c r="H22" s="2425"/>
      <c r="I22" s="2426"/>
      <c r="J22" s="5"/>
      <c r="K22" s="5"/>
    </row>
    <row r="23" spans="2:17" ht="36" customHeight="1" thickBot="1">
      <c r="B23" s="37" t="s">
        <v>805</v>
      </c>
      <c r="C23" s="71"/>
      <c r="D23" s="2424" t="s">
        <v>913</v>
      </c>
      <c r="E23" s="2425"/>
      <c r="F23" s="2425"/>
      <c r="G23" s="2425"/>
      <c r="H23" s="2425"/>
      <c r="I23" s="2426"/>
      <c r="J23" s="5"/>
      <c r="K23" s="5"/>
    </row>
    <row r="24" spans="2:17" ht="15" thickBot="1">
      <c r="B24" s="1"/>
      <c r="C24" s="63"/>
      <c r="D24" s="5"/>
      <c r="E24" s="5"/>
      <c r="F24" s="5"/>
      <c r="G24" s="5"/>
      <c r="H24" s="5"/>
      <c r="I24" s="5"/>
      <c r="J24" s="5"/>
      <c r="K24" s="5"/>
    </row>
    <row r="25" spans="2:17" ht="24" customHeight="1" thickBot="1">
      <c r="B25" s="2431" t="s">
        <v>807</v>
      </c>
      <c r="C25" s="2432"/>
      <c r="D25" s="2432"/>
      <c r="E25" s="2433"/>
      <c r="F25" s="5"/>
      <c r="G25" s="5"/>
      <c r="H25" s="5"/>
      <c r="I25" s="5"/>
      <c r="J25" s="5"/>
      <c r="K25" s="5"/>
    </row>
    <row r="26" spans="2:17" ht="26.25" customHeight="1" thickBot="1">
      <c r="B26" s="2421">
        <v>1</v>
      </c>
      <c r="C26" s="72"/>
      <c r="D26" s="38" t="s">
        <v>808</v>
      </c>
      <c r="E26" s="954" t="s">
        <v>809</v>
      </c>
      <c r="F26" s="5"/>
      <c r="G26" s="5"/>
      <c r="H26" s="5"/>
      <c r="I26" s="5"/>
      <c r="J26" s="5"/>
      <c r="K26" s="5"/>
    </row>
    <row r="27" spans="2:17" ht="24.6" thickBot="1">
      <c r="B27" s="2422"/>
      <c r="C27" s="72"/>
      <c r="D27" s="32" t="s">
        <v>528</v>
      </c>
      <c r="E27" s="537" t="s">
        <v>1848</v>
      </c>
      <c r="F27" s="5"/>
      <c r="G27" s="5"/>
      <c r="H27" s="5"/>
      <c r="I27" s="5"/>
      <c r="J27" s="5"/>
      <c r="K27" s="5"/>
    </row>
    <row r="28" spans="2:17" ht="15" thickBot="1">
      <c r="B28" s="2422"/>
      <c r="C28" s="72"/>
      <c r="D28" s="32" t="s">
        <v>811</v>
      </c>
      <c r="E28" s="537" t="s">
        <v>1849</v>
      </c>
      <c r="F28" s="5"/>
      <c r="G28" s="5"/>
      <c r="H28" s="5"/>
      <c r="I28" s="5"/>
      <c r="J28" s="5"/>
      <c r="K28" s="5"/>
    </row>
    <row r="29" spans="2:17" ht="15" thickBot="1">
      <c r="B29" s="2422"/>
      <c r="C29" s="72"/>
      <c r="D29" s="32" t="s">
        <v>531</v>
      </c>
      <c r="E29" s="183" t="s">
        <v>986</v>
      </c>
      <c r="F29" s="5"/>
      <c r="G29" s="5"/>
      <c r="H29" s="5"/>
      <c r="I29" s="5"/>
      <c r="J29" s="5"/>
      <c r="K29" s="5"/>
    </row>
    <row r="30" spans="2:17" ht="58.2" thickBot="1">
      <c r="B30" s="2422"/>
      <c r="C30" s="72"/>
      <c r="D30" s="471" t="s">
        <v>534</v>
      </c>
      <c r="E30" s="696" t="s">
        <v>987</v>
      </c>
      <c r="F30" s="5"/>
      <c r="G30" s="5"/>
      <c r="H30" s="5"/>
      <c r="I30" s="5"/>
      <c r="J30" s="5"/>
      <c r="K30" s="5"/>
    </row>
    <row r="31" spans="2:17" ht="15" thickBot="1">
      <c r="B31" s="2422"/>
      <c r="C31" s="72"/>
      <c r="D31" s="32" t="s">
        <v>537</v>
      </c>
      <c r="E31" s="537" t="s">
        <v>945</v>
      </c>
      <c r="F31" s="5"/>
      <c r="G31" s="5"/>
      <c r="H31" s="5"/>
      <c r="I31" s="5"/>
      <c r="J31" s="5"/>
      <c r="K31" s="5"/>
    </row>
    <row r="32" spans="2:17" ht="24.6" thickBot="1">
      <c r="B32" s="2423"/>
      <c r="C32" s="2"/>
      <c r="D32" s="32" t="s">
        <v>815</v>
      </c>
      <c r="E32" s="537" t="s">
        <v>816</v>
      </c>
      <c r="F32" s="5"/>
      <c r="G32" s="5"/>
      <c r="H32" s="5"/>
      <c r="I32" s="5"/>
      <c r="J32" s="5"/>
      <c r="K32" s="5"/>
    </row>
    <row r="33" spans="2:11" ht="15" thickBot="1">
      <c r="B33" s="1"/>
      <c r="C33" s="63"/>
      <c r="D33" s="5"/>
      <c r="E33" s="5"/>
      <c r="F33" s="5"/>
      <c r="G33" s="5"/>
      <c r="H33" s="5"/>
      <c r="I33" s="5"/>
      <c r="J33" s="5"/>
      <c r="K33" s="5"/>
    </row>
    <row r="34" spans="2:11" ht="15" thickBot="1">
      <c r="B34" s="2431" t="s">
        <v>817</v>
      </c>
      <c r="C34" s="2432"/>
      <c r="D34" s="2432"/>
      <c r="E34" s="2433"/>
      <c r="F34" s="5"/>
      <c r="G34" s="5"/>
      <c r="H34" s="5"/>
      <c r="I34" s="5"/>
      <c r="J34" s="5"/>
      <c r="K34" s="5"/>
    </row>
    <row r="35" spans="2:11" ht="36.6" thickBot="1">
      <c r="B35" s="2421">
        <v>1</v>
      </c>
      <c r="C35" s="72"/>
      <c r="D35" s="478" t="s">
        <v>808</v>
      </c>
      <c r="E35" s="28" t="s">
        <v>818</v>
      </c>
      <c r="F35" s="5"/>
      <c r="G35" s="5"/>
      <c r="H35" s="5"/>
      <c r="I35" s="5"/>
      <c r="J35" s="5"/>
      <c r="K35" s="5"/>
    </row>
    <row r="36" spans="2:11" ht="72.599999999999994" thickBot="1">
      <c r="B36" s="2422"/>
      <c r="C36" s="72"/>
      <c r="D36" s="471" t="s">
        <v>528</v>
      </c>
      <c r="E36" s="556" t="s">
        <v>819</v>
      </c>
      <c r="F36" s="5"/>
      <c r="G36" s="5"/>
      <c r="H36" s="5"/>
      <c r="I36" s="5"/>
      <c r="J36" s="5"/>
      <c r="K36" s="5"/>
    </row>
    <row r="37" spans="2:11" ht="15" thickBot="1">
      <c r="B37" s="2422"/>
      <c r="C37" s="72"/>
      <c r="D37" s="32" t="s">
        <v>811</v>
      </c>
      <c r="E37" s="136"/>
      <c r="F37" s="5"/>
      <c r="G37" s="5"/>
      <c r="H37" s="5"/>
      <c r="I37" s="5"/>
      <c r="J37" s="5"/>
      <c r="K37" s="5"/>
    </row>
    <row r="38" spans="2:11" ht="15" thickBot="1">
      <c r="B38" s="2422"/>
      <c r="C38" s="72"/>
      <c r="D38" s="32" t="s">
        <v>531</v>
      </c>
      <c r="E38" s="136"/>
      <c r="F38" s="5"/>
      <c r="G38" s="5"/>
      <c r="H38" s="5"/>
      <c r="I38" s="5"/>
      <c r="J38" s="5"/>
      <c r="K38" s="5"/>
    </row>
    <row r="39" spans="2:11" ht="15" thickBot="1">
      <c r="B39" s="2422"/>
      <c r="C39" s="72"/>
      <c r="D39" s="32" t="s">
        <v>534</v>
      </c>
      <c r="E39" s="136"/>
      <c r="F39" s="5"/>
      <c r="G39" s="5"/>
      <c r="H39" s="5"/>
      <c r="I39" s="5"/>
      <c r="J39" s="5"/>
      <c r="K39" s="5"/>
    </row>
    <row r="40" spans="2:11" ht="15" thickBot="1">
      <c r="B40" s="2422"/>
      <c r="C40" s="72"/>
      <c r="D40" s="32" t="s">
        <v>537</v>
      </c>
      <c r="E40" s="136"/>
      <c r="F40" s="5"/>
      <c r="G40" s="5"/>
      <c r="H40" s="5"/>
      <c r="I40" s="5"/>
      <c r="J40" s="5"/>
      <c r="K40" s="5"/>
    </row>
    <row r="41" spans="2:11" ht="15" thickBot="1">
      <c r="B41" s="2423"/>
      <c r="C41" s="2"/>
      <c r="D41" s="32" t="s">
        <v>815</v>
      </c>
      <c r="E41" s="136"/>
      <c r="F41" s="5"/>
      <c r="G41" s="5"/>
      <c r="H41" s="5"/>
      <c r="I41" s="5"/>
      <c r="J41" s="5"/>
      <c r="K41" s="5"/>
    </row>
    <row r="42" spans="2:11" ht="15" thickBot="1">
      <c r="B42" s="1"/>
      <c r="C42" s="63"/>
      <c r="D42" s="5"/>
      <c r="E42" s="5"/>
      <c r="F42" s="5"/>
      <c r="G42" s="5"/>
      <c r="H42" s="5"/>
      <c r="I42" s="5"/>
      <c r="J42" s="5"/>
      <c r="K42" s="5"/>
    </row>
    <row r="43" spans="2:11" ht="15" customHeight="1" thickBot="1">
      <c r="B43" s="99" t="s">
        <v>820</v>
      </c>
      <c r="C43" s="100"/>
      <c r="D43" s="100"/>
      <c r="E43" s="101"/>
      <c r="G43" s="5"/>
      <c r="H43" s="5"/>
      <c r="I43" s="5"/>
      <c r="J43" s="5"/>
      <c r="K43" s="5"/>
    </row>
    <row r="44" spans="2:11" ht="24.6" thickBot="1">
      <c r="B44" s="37" t="s">
        <v>821</v>
      </c>
      <c r="C44" s="32" t="s">
        <v>822</v>
      </c>
      <c r="D44" s="32" t="s">
        <v>823</v>
      </c>
      <c r="E44" s="32" t="s">
        <v>824</v>
      </c>
      <c r="F44" s="5"/>
      <c r="G44" s="5"/>
      <c r="H44" s="5"/>
      <c r="I44" s="5"/>
      <c r="J44" s="5"/>
    </row>
    <row r="45" spans="2:11" ht="60.6" thickBot="1">
      <c r="B45" s="39">
        <v>42401</v>
      </c>
      <c r="C45" s="32">
        <v>0.01</v>
      </c>
      <c r="D45" s="40" t="s">
        <v>1850</v>
      </c>
      <c r="E45" s="32"/>
      <c r="F45" s="5"/>
      <c r="G45" s="5"/>
      <c r="H45" s="5"/>
      <c r="I45" s="5"/>
      <c r="J45" s="5"/>
    </row>
    <row r="46" spans="2:11" ht="15" thickBot="1">
      <c r="B46" s="1"/>
      <c r="C46" s="63"/>
      <c r="D46" s="5"/>
      <c r="E46" s="5"/>
      <c r="F46" s="5"/>
      <c r="G46" s="5"/>
      <c r="H46" s="5"/>
      <c r="I46" s="5"/>
      <c r="J46" s="5"/>
      <c r="K46" s="5"/>
    </row>
    <row r="47" spans="2:11">
      <c r="B47" s="105" t="s">
        <v>702</v>
      </c>
      <c r="C47" s="74"/>
      <c r="D47" s="5"/>
      <c r="E47" s="5"/>
      <c r="F47" s="5"/>
      <c r="G47" s="5"/>
      <c r="H47" s="5"/>
      <c r="I47" s="5"/>
      <c r="J47" s="5"/>
      <c r="K47" s="5"/>
    </row>
    <row r="48" spans="2:11">
      <c r="B48" s="2747"/>
      <c r="C48" s="2748"/>
      <c r="D48" s="2748"/>
      <c r="E48" s="2749"/>
      <c r="F48" s="5"/>
      <c r="G48" s="5"/>
      <c r="H48" s="5"/>
      <c r="I48" s="5"/>
      <c r="J48" s="5"/>
      <c r="K48" s="5"/>
    </row>
    <row r="49" spans="2:11">
      <c r="B49" s="2750"/>
      <c r="C49" s="2751"/>
      <c r="D49" s="2751"/>
      <c r="E49" s="2752"/>
      <c r="F49" s="5"/>
      <c r="G49" s="5"/>
      <c r="H49" s="5"/>
      <c r="I49" s="5"/>
      <c r="J49" s="5"/>
      <c r="K49" s="5"/>
    </row>
    <row r="50" spans="2:11" ht="15" thickBot="1">
      <c r="B50" s="5"/>
      <c r="D50" s="5"/>
      <c r="E50" s="5"/>
      <c r="F50" s="5"/>
      <c r="G50" s="5"/>
      <c r="H50" s="5"/>
      <c r="I50" s="5"/>
      <c r="J50" s="5"/>
      <c r="K50" s="5"/>
    </row>
    <row r="51" spans="2:11" ht="24.6" thickBot="1">
      <c r="B51" s="41" t="s">
        <v>826</v>
      </c>
      <c r="C51" s="75"/>
      <c r="D51" s="5"/>
      <c r="E51" s="5"/>
      <c r="F51" s="5"/>
      <c r="G51" s="5"/>
      <c r="H51" s="5"/>
      <c r="I51" s="5"/>
      <c r="J51" s="5"/>
      <c r="K51" s="5"/>
    </row>
    <row r="52" spans="2:11" ht="15" thickBot="1">
      <c r="B52" s="1"/>
      <c r="C52" s="63"/>
      <c r="D52" s="5"/>
      <c r="E52" s="5"/>
      <c r="F52" s="5"/>
      <c r="G52" s="5"/>
      <c r="H52" s="5"/>
      <c r="I52" s="5"/>
      <c r="J52" s="5"/>
      <c r="K52" s="5"/>
    </row>
    <row r="53" spans="2:11" ht="84.6" thickBot="1">
      <c r="B53" s="42" t="s">
        <v>827</v>
      </c>
      <c r="C53" s="76"/>
      <c r="D53" s="34" t="s">
        <v>1851</v>
      </c>
      <c r="E53" s="5"/>
      <c r="F53" s="5"/>
      <c r="G53" s="5"/>
      <c r="H53" s="5"/>
      <c r="I53" s="5"/>
      <c r="J53" s="5"/>
      <c r="K53" s="5"/>
    </row>
    <row r="54" spans="2:11">
      <c r="B54" s="2421" t="s">
        <v>829</v>
      </c>
      <c r="C54" s="72"/>
      <c r="D54" s="43" t="s">
        <v>830</v>
      </c>
      <c r="E54" s="5"/>
      <c r="F54" s="5"/>
      <c r="G54" s="5"/>
      <c r="H54" s="5"/>
      <c r="I54" s="5"/>
      <c r="J54" s="5"/>
      <c r="K54" s="5"/>
    </row>
    <row r="55" spans="2:11" ht="60">
      <c r="B55" s="2422"/>
      <c r="C55" s="72"/>
      <c r="D55" s="43" t="s">
        <v>1852</v>
      </c>
      <c r="E55" s="5"/>
      <c r="F55" s="5"/>
      <c r="G55" s="5"/>
      <c r="H55" s="5"/>
      <c r="I55" s="5"/>
      <c r="J55" s="5"/>
      <c r="K55" s="5"/>
    </row>
    <row r="56" spans="2:11">
      <c r="B56" s="2422"/>
      <c r="C56" s="72"/>
      <c r="D56" s="43" t="s">
        <v>920</v>
      </c>
      <c r="E56" s="5"/>
      <c r="F56" s="5"/>
      <c r="G56" s="5"/>
      <c r="H56" s="5"/>
      <c r="I56" s="5"/>
      <c r="J56" s="5"/>
      <c r="K56" s="5"/>
    </row>
    <row r="57" spans="2:11">
      <c r="B57" s="2422"/>
      <c r="C57" s="72"/>
      <c r="D57" s="36" t="s">
        <v>1853</v>
      </c>
      <c r="E57" s="5"/>
      <c r="F57" s="5"/>
      <c r="G57" s="5"/>
      <c r="H57" s="5"/>
      <c r="I57" s="5"/>
      <c r="J57" s="5"/>
      <c r="K57" s="5"/>
    </row>
    <row r="58" spans="2:11" ht="24">
      <c r="B58" s="2422"/>
      <c r="C58" s="72"/>
      <c r="D58" s="36" t="s">
        <v>1854</v>
      </c>
      <c r="E58" s="5"/>
      <c r="F58" s="5"/>
      <c r="G58" s="5"/>
      <c r="H58" s="5"/>
      <c r="I58" s="5"/>
      <c r="J58" s="5"/>
      <c r="K58" s="5"/>
    </row>
    <row r="59" spans="2:11" ht="15" thickBot="1">
      <c r="B59" s="2423"/>
      <c r="C59" s="2"/>
      <c r="D59" s="32" t="s">
        <v>835</v>
      </c>
      <c r="E59" s="5"/>
      <c r="F59" s="5"/>
      <c r="G59" s="5"/>
      <c r="H59" s="5"/>
      <c r="I59" s="5"/>
      <c r="J59" s="5"/>
      <c r="K59" s="5"/>
    </row>
    <row r="60" spans="2:11" ht="24.6" thickBot="1">
      <c r="B60" s="37" t="s">
        <v>842</v>
      </c>
      <c r="C60" s="2"/>
      <c r="D60" s="32"/>
      <c r="E60" s="5"/>
      <c r="F60" s="5"/>
      <c r="G60" s="5"/>
      <c r="H60" s="5"/>
      <c r="I60" s="5"/>
      <c r="J60" s="5"/>
      <c r="K60" s="5"/>
    </row>
    <row r="61" spans="2:11" ht="108">
      <c r="B61" s="2421" t="s">
        <v>843</v>
      </c>
      <c r="C61" s="72"/>
      <c r="D61" s="36" t="s">
        <v>1855</v>
      </c>
      <c r="E61" s="5"/>
      <c r="F61" s="5"/>
      <c r="G61" s="5"/>
      <c r="H61" s="5"/>
      <c r="I61" s="5"/>
      <c r="J61" s="5"/>
      <c r="K61" s="5"/>
    </row>
    <row r="62" spans="2:11" ht="264">
      <c r="B62" s="2422"/>
      <c r="C62" s="72"/>
      <c r="D62" s="36" t="s">
        <v>1856</v>
      </c>
      <c r="E62" s="5"/>
      <c r="F62" s="5"/>
      <c r="G62" s="5"/>
      <c r="H62" s="5"/>
      <c r="I62" s="5"/>
      <c r="J62" s="5"/>
      <c r="K62" s="5"/>
    </row>
    <row r="63" spans="2:11" ht="72">
      <c r="B63" s="2422"/>
      <c r="C63" s="72"/>
      <c r="D63" s="36" t="s">
        <v>1857</v>
      </c>
      <c r="E63" s="5"/>
      <c r="F63" s="5"/>
      <c r="G63" s="5"/>
      <c r="H63" s="5"/>
      <c r="I63" s="5"/>
      <c r="J63" s="5"/>
      <c r="K63" s="5"/>
    </row>
    <row r="64" spans="2:11" ht="60">
      <c r="B64" s="2422"/>
      <c r="C64" s="72"/>
      <c r="D64" s="36" t="s">
        <v>1858</v>
      </c>
      <c r="E64" s="5"/>
      <c r="F64" s="5"/>
      <c r="G64" s="5"/>
      <c r="H64" s="5"/>
      <c r="I64" s="5"/>
      <c r="J64" s="5"/>
      <c r="K64" s="5"/>
    </row>
    <row r="65" spans="2:11" ht="48.6" thickBot="1">
      <c r="B65" s="2423"/>
      <c r="C65" s="2"/>
      <c r="D65" s="32" t="s">
        <v>1859</v>
      </c>
      <c r="E65" s="5"/>
      <c r="F65" s="5"/>
      <c r="G65" s="5"/>
      <c r="H65" s="5"/>
      <c r="I65" s="5"/>
      <c r="J65" s="5"/>
      <c r="K65" s="5"/>
    </row>
    <row r="66" spans="2:11">
      <c r="B66" s="2421" t="s">
        <v>860</v>
      </c>
      <c r="C66" s="72"/>
      <c r="D66" s="36"/>
      <c r="E66" s="5"/>
      <c r="F66" s="5"/>
      <c r="G66" s="5"/>
      <c r="H66" s="5"/>
      <c r="I66" s="5"/>
      <c r="J66" s="5"/>
      <c r="K66" s="5"/>
    </row>
    <row r="67" spans="2:11">
      <c r="B67" s="2422"/>
      <c r="C67" s="72"/>
      <c r="D67" s="13"/>
      <c r="E67" s="5"/>
      <c r="F67" s="5"/>
      <c r="G67" s="5"/>
      <c r="H67" s="5"/>
      <c r="I67" s="5"/>
      <c r="J67" s="5"/>
      <c r="K67" s="5"/>
    </row>
    <row r="68" spans="2:11">
      <c r="B68" s="2422"/>
      <c r="C68" s="72"/>
      <c r="D68" s="36" t="s">
        <v>861</v>
      </c>
      <c r="E68" s="5"/>
      <c r="F68" s="5"/>
      <c r="G68" s="5"/>
      <c r="H68" s="5"/>
      <c r="I68" s="5"/>
      <c r="J68" s="5"/>
      <c r="K68" s="5"/>
    </row>
    <row r="69" spans="2:11" ht="26.4">
      <c r="B69" s="2422"/>
      <c r="C69" s="72"/>
      <c r="D69" s="36" t="s">
        <v>1860</v>
      </c>
      <c r="E69" s="5"/>
      <c r="F69" s="5"/>
      <c r="G69" s="5"/>
      <c r="H69" s="5"/>
      <c r="I69" s="5"/>
      <c r="J69" s="5"/>
      <c r="K69" s="5"/>
    </row>
    <row r="70" spans="2:11" ht="38.4">
      <c r="B70" s="2422"/>
      <c r="C70" s="72"/>
      <c r="D70" s="36" t="s">
        <v>1861</v>
      </c>
      <c r="E70" s="5"/>
      <c r="F70" s="5"/>
      <c r="G70" s="5"/>
      <c r="H70" s="5"/>
      <c r="I70" s="5"/>
      <c r="J70" s="5"/>
      <c r="K70" s="5"/>
    </row>
    <row r="71" spans="2:11" ht="38.4">
      <c r="B71" s="2422"/>
      <c r="C71" s="72"/>
      <c r="D71" s="36" t="s">
        <v>1862</v>
      </c>
      <c r="E71" s="5"/>
      <c r="F71" s="5"/>
      <c r="G71" s="5"/>
      <c r="H71" s="5"/>
      <c r="I71" s="5"/>
      <c r="J71" s="5"/>
      <c r="K71" s="5"/>
    </row>
    <row r="72" spans="2:11" ht="36">
      <c r="B72" s="2422"/>
      <c r="C72" s="72"/>
      <c r="D72" s="36" t="s">
        <v>1863</v>
      </c>
      <c r="E72" s="5"/>
      <c r="F72" s="5"/>
      <c r="G72" s="5"/>
      <c r="H72" s="5"/>
      <c r="I72" s="5"/>
      <c r="J72" s="5"/>
      <c r="K72" s="5"/>
    </row>
    <row r="73" spans="2:11" ht="120.6" thickBot="1">
      <c r="B73" s="2423"/>
      <c r="C73" s="2"/>
      <c r="D73" s="32" t="s">
        <v>1864</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4">
    <mergeCell ref="A1:P1"/>
    <mergeCell ref="A2:P2"/>
    <mergeCell ref="A3:P3"/>
    <mergeCell ref="A4:D4"/>
    <mergeCell ref="A5:P5"/>
    <mergeCell ref="B10:D10"/>
    <mergeCell ref="F10:S10"/>
    <mergeCell ref="F11:S11"/>
    <mergeCell ref="E12:R12"/>
    <mergeCell ref="E13:R13"/>
    <mergeCell ref="L16:Q16"/>
    <mergeCell ref="B54:B59"/>
    <mergeCell ref="B61:B65"/>
    <mergeCell ref="B66:B73"/>
    <mergeCell ref="B15:B21"/>
    <mergeCell ref="D15:I15"/>
    <mergeCell ref="D16:I16"/>
    <mergeCell ref="D22:I22"/>
    <mergeCell ref="D23:I23"/>
    <mergeCell ref="B25:E25"/>
    <mergeCell ref="B26:B32"/>
    <mergeCell ref="B34:E34"/>
    <mergeCell ref="B35:B41"/>
    <mergeCell ref="B48:E49"/>
  </mergeCells>
  <conditionalFormatting sqref="E12:R12">
    <cfRule type="expression" dxfId="28" priority="1">
      <formula>E11="SI SE REPORTA"</formula>
    </cfRule>
  </conditionalFormatting>
  <conditionalFormatting sqref="F10">
    <cfRule type="notContainsBlanks" dxfId="27" priority="4">
      <formula>LEN(TRIM(F10))&gt;0</formula>
    </cfRule>
  </conditionalFormatting>
  <conditionalFormatting sqref="F11:S11">
    <cfRule type="expression" dxfId="26" priority="2">
      <formula>E11="NO SE REPORTA"</formula>
    </cfRule>
    <cfRule type="expression" dxfId="25"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8:H20 M18:P20" xr:uid="{29697C28-F4E7-4181-9066-E7A01F7F0C4D}">
      <formula1>0</formula1>
    </dataValidation>
    <dataValidation type="list" allowBlank="1" showInputMessage="1" showErrorMessage="1" sqref="E11" xr:uid="{69AA062B-BE6E-4269-93FC-A200DA05A5A0}">
      <formula1>REPORTE</formula1>
    </dataValidation>
    <dataValidation type="list" allowBlank="1" showInputMessage="1" showErrorMessage="1" sqref="E10" xr:uid="{ECADD4A1-6BC1-4E18-B0BE-AFB504326EE4}">
      <formula1>SI</formula1>
    </dataValidation>
  </dataValidations>
  <hyperlinks>
    <hyperlink ref="B9" location="'ANEXO 3'!A1" display="VOLVER AL INDICE" xr:uid="{391AFEED-2C18-4A5D-9C4A-52B8128CD190}"/>
    <hyperlink ref="E30" r:id="rId1" display="jrestrepo@crautonoma.gov.co" xr:uid="{4E7735A3-8CD5-4317-BEAF-88075FA45E9E}"/>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dimension ref="A1:U84"/>
  <sheetViews>
    <sheetView topLeftCell="A20" workbookViewId="0">
      <selection activeCell="G21" sqref="G21:H21"/>
    </sheetView>
  </sheetViews>
  <sheetFormatPr baseColWidth="10" defaultColWidth="11.44140625" defaultRowHeight="14.4"/>
  <cols>
    <col min="1" max="1" width="1.88671875" customWidth="1"/>
    <col min="2" max="2" width="12.88671875" customWidth="1"/>
    <col min="3" max="3" width="7.88671875" style="65" customWidth="1"/>
    <col min="4" max="4" width="45" customWidth="1"/>
    <col min="5" max="5" width="14" customWidth="1"/>
    <col min="6" max="6" width="32.77734375" customWidth="1"/>
    <col min="7" max="7" width="16.109375" customWidth="1"/>
    <col min="8" max="8" width="23.4414062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34.5" customHeight="1" thickBot="1">
      <c r="A5" s="2392" t="s">
        <v>33</v>
      </c>
      <c r="B5" s="2393"/>
      <c r="C5" s="2393"/>
      <c r="D5" s="2393"/>
      <c r="E5" s="2393"/>
      <c r="F5" s="2393"/>
      <c r="G5" s="2393"/>
      <c r="H5" s="2393"/>
      <c r="I5" s="2393"/>
      <c r="J5" s="2393"/>
      <c r="K5" s="2393"/>
      <c r="L5" s="2393"/>
      <c r="M5" s="2393"/>
      <c r="N5" s="2393"/>
      <c r="O5" s="2393"/>
      <c r="P5" s="2394"/>
    </row>
    <row r="6" spans="1:21" ht="15" thickBot="1">
      <c r="B6" s="1" t="s">
        <v>736</v>
      </c>
      <c r="C6" s="63"/>
      <c r="D6" s="5"/>
      <c r="E6" s="61"/>
      <c r="F6" s="5" t="s">
        <v>737</v>
      </c>
      <c r="G6" s="5"/>
      <c r="H6" s="5"/>
      <c r="I6" s="5"/>
      <c r="J6" s="5"/>
      <c r="K6" s="5"/>
    </row>
    <row r="7" spans="1:21" ht="15" thickBot="1">
      <c r="B7" s="141" t="s">
        <v>739</v>
      </c>
      <c r="C7" s="539">
        <v>2025</v>
      </c>
      <c r="D7" s="162">
        <f>IF(E9="NO APLICA","NO APLICA",IF(E10="NO SE REPORTA","SIN INFORMACION",+F17))</f>
        <v>1</v>
      </c>
      <c r="E7" s="174"/>
      <c r="F7" s="5" t="s">
        <v>738</v>
      </c>
      <c r="G7" s="5"/>
      <c r="H7" s="5"/>
      <c r="I7" s="5"/>
      <c r="J7" s="5"/>
      <c r="K7" s="5"/>
    </row>
    <row r="8" spans="1:21">
      <c r="B8" s="290" t="s">
        <v>741</v>
      </c>
      <c r="E8" s="161"/>
      <c r="F8" s="5" t="s">
        <v>740</v>
      </c>
      <c r="G8" s="5"/>
      <c r="H8" s="5"/>
      <c r="I8" s="5"/>
      <c r="J8" s="5"/>
      <c r="K8" s="5"/>
    </row>
    <row r="9" spans="1:21">
      <c r="B9" s="2395" t="s">
        <v>742</v>
      </c>
      <c r="C9" s="2395"/>
      <c r="D9" s="2395"/>
      <c r="E9" s="293" t="s">
        <v>743</v>
      </c>
      <c r="F9" s="2398"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2399"/>
      <c r="H9" s="2399"/>
      <c r="I9" s="2399"/>
      <c r="J9" s="2399"/>
      <c r="K9" s="2399"/>
      <c r="L9" s="2399"/>
      <c r="M9" s="2399"/>
      <c r="N9" s="2399"/>
      <c r="O9" s="2399"/>
      <c r="P9" s="2399"/>
      <c r="Q9" s="2399"/>
      <c r="R9" s="2399"/>
      <c r="S9" s="2399"/>
      <c r="T9" s="5"/>
      <c r="U9" s="5"/>
    </row>
    <row r="10" spans="1:21" ht="14.4" customHeight="1">
      <c r="B10" s="292"/>
      <c r="C10" s="66"/>
      <c r="D10" s="141" t="str">
        <f>IF(E9="SI APLICA","¿El indicador no se reporta por limitaciones de información disponible? ","")</f>
        <v xml:space="preserve">¿El indicador no se reporta por limitaciones de información disponible? </v>
      </c>
      <c r="E10" s="294" t="s">
        <v>744</v>
      </c>
      <c r="F10" s="2396"/>
      <c r="G10" s="2397"/>
      <c r="H10" s="2397"/>
      <c r="I10" s="2397"/>
      <c r="J10" s="2397"/>
      <c r="K10" s="2397"/>
      <c r="L10" s="2397"/>
      <c r="M10" s="2397"/>
      <c r="N10" s="2397"/>
      <c r="O10" s="2397"/>
      <c r="P10" s="2397"/>
      <c r="Q10" s="2397"/>
      <c r="R10" s="2397"/>
      <c r="S10" s="2397"/>
    </row>
    <row r="11" spans="1:21" ht="65.25" customHeight="1">
      <c r="B11" s="290"/>
      <c r="C11" s="66"/>
      <c r="D11" s="141" t="str">
        <f>IF(E10="SI SE REPORTA","¿Qué programas o proyectos del Plan de Acción están asociados al indicador? ","")</f>
        <v xml:space="preserve">¿Qué programas o proyectos del Plan de Acción están asociados al indicador? </v>
      </c>
      <c r="E11" s="2547" t="s">
        <v>1865</v>
      </c>
      <c r="F11" s="2547"/>
      <c r="G11" s="2547"/>
      <c r="H11" s="2547"/>
      <c r="I11" s="2547"/>
      <c r="J11" s="2547"/>
      <c r="K11" s="2547"/>
      <c r="L11" s="2547"/>
      <c r="M11" s="2547"/>
      <c r="N11" s="2547"/>
      <c r="O11" s="2547"/>
      <c r="P11" s="2547"/>
      <c r="Q11" s="2547"/>
      <c r="R11" s="2547"/>
    </row>
    <row r="12" spans="1:21" ht="13.5" customHeight="1" thickBot="1">
      <c r="B12" s="290"/>
      <c r="C12" s="66"/>
      <c r="D12" s="141" t="s">
        <v>746</v>
      </c>
      <c r="E12" s="2501"/>
      <c r="F12" s="2502"/>
      <c r="G12" s="2502"/>
      <c r="H12" s="2502"/>
      <c r="I12" s="2502"/>
      <c r="J12" s="2502"/>
      <c r="K12" s="2502"/>
      <c r="L12" s="2502"/>
      <c r="M12" s="2502"/>
      <c r="N12" s="2502"/>
      <c r="O12" s="2502"/>
      <c r="P12" s="2502"/>
      <c r="Q12" s="2502"/>
      <c r="R12" s="2503"/>
    </row>
    <row r="13" spans="1:21" ht="26.25" customHeight="1" thickBot="1">
      <c r="B13" s="2631" t="s">
        <v>747</v>
      </c>
      <c r="C13" s="80"/>
      <c r="D13" s="2424" t="s">
        <v>748</v>
      </c>
      <c r="E13" s="2425"/>
      <c r="F13" s="2425"/>
      <c r="G13" s="2425"/>
      <c r="H13" s="2425"/>
      <c r="I13" s="2413"/>
      <c r="J13" s="2414"/>
      <c r="K13" s="5"/>
    </row>
    <row r="14" spans="1:21" ht="21.75" customHeight="1" thickBot="1">
      <c r="B14" s="2632"/>
      <c r="C14" s="76" t="s">
        <v>698</v>
      </c>
      <c r="D14" s="545" t="s">
        <v>904</v>
      </c>
      <c r="E14" s="552" t="s">
        <v>794</v>
      </c>
      <c r="F14" s="552" t="s">
        <v>1147</v>
      </c>
      <c r="G14" s="552" t="s">
        <v>594</v>
      </c>
      <c r="H14" s="557" t="s">
        <v>595</v>
      </c>
      <c r="I14" s="236"/>
      <c r="J14" s="190"/>
      <c r="K14" s="5"/>
    </row>
    <row r="15" spans="1:21" ht="63.75" customHeight="1" thickBot="1">
      <c r="B15" s="2632"/>
      <c r="C15" s="2" t="s">
        <v>906</v>
      </c>
      <c r="D15" s="32" t="s">
        <v>1866</v>
      </c>
      <c r="E15" s="494">
        <v>23</v>
      </c>
      <c r="F15" s="494">
        <v>23</v>
      </c>
      <c r="G15" s="494">
        <v>23</v>
      </c>
      <c r="H15" s="524">
        <v>23</v>
      </c>
      <c r="I15" s="269"/>
      <c r="J15" s="17"/>
      <c r="K15" s="5"/>
    </row>
    <row r="16" spans="1:21" ht="60" customHeight="1" thickBot="1">
      <c r="B16" s="2632"/>
      <c r="C16" s="2" t="s">
        <v>908</v>
      </c>
      <c r="D16" s="32" t="s">
        <v>1867</v>
      </c>
      <c r="E16" s="494">
        <v>23</v>
      </c>
      <c r="F16" s="494">
        <v>23</v>
      </c>
      <c r="G16" s="494"/>
      <c r="H16" s="524"/>
      <c r="I16" s="269"/>
      <c r="J16" s="17"/>
      <c r="K16" s="5"/>
    </row>
    <row r="17" spans="2:11" ht="72.599999999999994" customHeight="1" thickBot="1">
      <c r="B17" s="2632"/>
      <c r="C17" s="2" t="s">
        <v>910</v>
      </c>
      <c r="D17" s="32" t="s">
        <v>1868</v>
      </c>
      <c r="E17" s="118">
        <f>+E16/E15</f>
        <v>1</v>
      </c>
      <c r="F17" s="118">
        <f>+F16/F15</f>
        <v>1</v>
      </c>
      <c r="G17" s="118">
        <f>+G16/G15</f>
        <v>0</v>
      </c>
      <c r="H17" s="268">
        <f>+H16/H15</f>
        <v>0</v>
      </c>
      <c r="I17" s="270"/>
      <c r="J17" s="19"/>
      <c r="K17" s="5"/>
    </row>
    <row r="18" spans="2:11">
      <c r="B18" s="2632"/>
      <c r="C18" s="81"/>
      <c r="D18" s="2412"/>
      <c r="E18" s="2413"/>
      <c r="F18" s="2413"/>
      <c r="G18" s="2413"/>
      <c r="H18" s="2413"/>
      <c r="I18" s="2404"/>
      <c r="J18" s="2405"/>
      <c r="K18" s="5"/>
    </row>
    <row r="19" spans="2:11" ht="24" customHeight="1" thickBot="1">
      <c r="B19" s="2632"/>
      <c r="C19" s="81"/>
      <c r="D19" s="2403" t="s">
        <v>1869</v>
      </c>
      <c r="E19" s="2404"/>
      <c r="F19" s="2404"/>
      <c r="G19" s="2404"/>
      <c r="H19" s="2404"/>
      <c r="I19" s="2404"/>
      <c r="J19" s="2405"/>
      <c r="K19" s="5"/>
    </row>
    <row r="20" spans="2:11" ht="33" customHeight="1" thickBot="1">
      <c r="B20" s="2632"/>
      <c r="C20" s="76" t="s">
        <v>698</v>
      </c>
      <c r="D20" s="30" t="s">
        <v>1072</v>
      </c>
      <c r="E20" s="34" t="s">
        <v>1870</v>
      </c>
      <c r="F20" s="34" t="s">
        <v>1871</v>
      </c>
      <c r="G20" s="2720" t="s">
        <v>702</v>
      </c>
      <c r="H20" s="2721"/>
      <c r="J20" s="17"/>
      <c r="K20" s="5"/>
    </row>
    <row r="21" spans="2:11" ht="106.5" customHeight="1" thickBot="1">
      <c r="B21" s="2632"/>
      <c r="C21" s="2">
        <v>1</v>
      </c>
      <c r="D21" s="525" t="s">
        <v>621</v>
      </c>
      <c r="E21" s="494">
        <v>23</v>
      </c>
      <c r="F21" s="491" t="s">
        <v>1075</v>
      </c>
      <c r="G21" s="2756" t="s">
        <v>2140</v>
      </c>
      <c r="H21" s="2757"/>
      <c r="J21" s="17"/>
      <c r="K21" s="5"/>
    </row>
    <row r="22" spans="2:11" ht="12.75" customHeight="1" thickBot="1">
      <c r="B22" s="2632"/>
      <c r="C22" s="2">
        <v>2</v>
      </c>
      <c r="D22" s="525"/>
      <c r="E22" s="494"/>
      <c r="F22" s="491"/>
      <c r="G22" s="2758"/>
      <c r="H22" s="2759"/>
      <c r="J22" s="17"/>
      <c r="K22" s="5"/>
    </row>
    <row r="23" spans="2:11" ht="15.75" customHeight="1" thickBot="1">
      <c r="B23" s="2633"/>
      <c r="C23" s="2">
        <v>3</v>
      </c>
      <c r="D23" s="25"/>
      <c r="E23" s="6"/>
      <c r="F23" s="24"/>
      <c r="G23" s="2758"/>
      <c r="H23" s="2759"/>
      <c r="J23" s="19"/>
      <c r="K23" s="5"/>
    </row>
    <row r="24" spans="2:11" ht="24" customHeight="1" thickBot="1">
      <c r="B24" s="50" t="s">
        <v>803</v>
      </c>
      <c r="C24" s="82"/>
      <c r="D24" s="2424" t="s">
        <v>1872</v>
      </c>
      <c r="E24" s="2425"/>
      <c r="F24" s="2425"/>
      <c r="G24" s="2425"/>
      <c r="H24" s="2425"/>
      <c r="I24" s="2425"/>
      <c r="J24" s="2426"/>
      <c r="K24" s="5"/>
    </row>
    <row r="25" spans="2:11" ht="19.8" thickBot="1">
      <c r="B25" s="50" t="s">
        <v>805</v>
      </c>
      <c r="C25" s="82"/>
      <c r="D25" s="2424" t="s">
        <v>1036</v>
      </c>
      <c r="E25" s="2425"/>
      <c r="F25" s="2425"/>
      <c r="G25" s="2425"/>
      <c r="H25" s="2425"/>
      <c r="I25" s="2425"/>
      <c r="J25" s="2426"/>
      <c r="K25" s="5"/>
    </row>
    <row r="26" spans="2:11" ht="15" thickBot="1">
      <c r="B26" s="1"/>
      <c r="C26" s="63"/>
      <c r="D26" s="5"/>
      <c r="E26" s="5"/>
      <c r="F26" s="5"/>
      <c r="G26" s="5"/>
      <c r="H26" s="5"/>
      <c r="I26" s="5"/>
      <c r="J26" s="5"/>
      <c r="K26" s="5"/>
    </row>
    <row r="27" spans="2:11" ht="24" customHeight="1" thickBot="1">
      <c r="B27" s="2431" t="s">
        <v>807</v>
      </c>
      <c r="C27" s="2432"/>
      <c r="D27" s="2432"/>
      <c r="E27" s="2433"/>
      <c r="F27" s="5"/>
      <c r="G27" s="5"/>
      <c r="H27" s="5"/>
      <c r="I27" s="5"/>
      <c r="J27" s="5"/>
      <c r="K27" s="5"/>
    </row>
    <row r="28" spans="2:11" ht="15" thickBot="1">
      <c r="B28" s="2421">
        <v>1</v>
      </c>
      <c r="C28" s="72"/>
      <c r="D28" s="38" t="s">
        <v>808</v>
      </c>
      <c r="E28" s="25" t="s">
        <v>809</v>
      </c>
      <c r="F28" s="5"/>
      <c r="G28" s="5"/>
      <c r="H28" s="5"/>
      <c r="I28" s="5"/>
      <c r="J28" s="5"/>
      <c r="K28" s="5"/>
    </row>
    <row r="29" spans="2:11" ht="24.6" thickBot="1">
      <c r="B29" s="2422"/>
      <c r="C29" s="72"/>
      <c r="D29" s="32" t="s">
        <v>528</v>
      </c>
      <c r="E29" s="24" t="s">
        <v>966</v>
      </c>
      <c r="F29" s="5"/>
      <c r="G29" s="5"/>
      <c r="H29" s="5"/>
      <c r="I29" s="5"/>
      <c r="J29" s="5"/>
      <c r="K29" s="5"/>
    </row>
    <row r="30" spans="2:11" ht="24.6" thickBot="1">
      <c r="B30" s="2422"/>
      <c r="C30" s="72"/>
      <c r="D30" s="32" t="s">
        <v>811</v>
      </c>
      <c r="E30" s="24" t="s">
        <v>915</v>
      </c>
      <c r="F30" s="5"/>
      <c r="G30" s="5"/>
      <c r="H30" s="5"/>
      <c r="I30" s="5"/>
      <c r="J30" s="5"/>
      <c r="K30" s="5"/>
    </row>
    <row r="31" spans="2:11" ht="36.6" thickBot="1">
      <c r="B31" s="2422"/>
      <c r="C31" s="72"/>
      <c r="D31" s="32" t="s">
        <v>531</v>
      </c>
      <c r="E31" s="24" t="s">
        <v>1873</v>
      </c>
      <c r="F31" s="5"/>
      <c r="G31" s="5"/>
      <c r="H31" s="5"/>
      <c r="I31" s="5"/>
      <c r="J31" s="5"/>
      <c r="K31" s="5"/>
    </row>
    <row r="32" spans="2:11" ht="29.4" thickBot="1">
      <c r="B32" s="2422"/>
      <c r="C32" s="72"/>
      <c r="D32" s="32" t="s">
        <v>534</v>
      </c>
      <c r="E32" s="490" t="s">
        <v>814</v>
      </c>
      <c r="F32" s="5"/>
      <c r="G32" s="5"/>
      <c r="H32" s="5"/>
      <c r="I32" s="5"/>
      <c r="J32" s="5"/>
      <c r="K32" s="5"/>
    </row>
    <row r="33" spans="2:11" ht="15" thickBot="1">
      <c r="B33" s="2422"/>
      <c r="C33" s="72"/>
      <c r="D33" s="32" t="s">
        <v>537</v>
      </c>
      <c r="E33" s="273">
        <v>3686626</v>
      </c>
      <c r="F33" s="5"/>
      <c r="G33" s="5"/>
      <c r="H33" s="5"/>
      <c r="I33" s="5"/>
      <c r="J33" s="5"/>
      <c r="K33" s="5"/>
    </row>
    <row r="34" spans="2:11" ht="24.6" thickBot="1">
      <c r="B34" s="2423"/>
      <c r="C34" s="2"/>
      <c r="D34" s="32" t="s">
        <v>815</v>
      </c>
      <c r="E34" s="24" t="s">
        <v>816</v>
      </c>
      <c r="F34" s="5"/>
      <c r="G34" s="5"/>
      <c r="H34" s="5"/>
      <c r="I34" s="5"/>
      <c r="J34" s="5"/>
      <c r="K34" s="5"/>
    </row>
    <row r="35" spans="2:11" ht="15" thickBot="1">
      <c r="B35" s="1"/>
      <c r="C35" s="63"/>
      <c r="D35" s="5"/>
      <c r="E35" s="5"/>
      <c r="F35" s="5"/>
      <c r="G35" s="5"/>
      <c r="H35" s="5"/>
      <c r="I35" s="5"/>
      <c r="J35" s="5"/>
      <c r="K35" s="5"/>
    </row>
    <row r="36" spans="2:11" ht="15" thickBot="1">
      <c r="B36" s="2431" t="s">
        <v>817</v>
      </c>
      <c r="C36" s="2432"/>
      <c r="D36" s="2432"/>
      <c r="E36" s="2433"/>
      <c r="F36" s="5"/>
      <c r="G36" s="5"/>
      <c r="H36" s="5"/>
      <c r="I36" s="5"/>
      <c r="J36" s="5"/>
      <c r="K36" s="5"/>
    </row>
    <row r="37" spans="2:11" ht="48.6" thickBot="1">
      <c r="B37" s="2421">
        <v>1</v>
      </c>
      <c r="C37" s="72"/>
      <c r="D37" s="38" t="s">
        <v>808</v>
      </c>
      <c r="E37" s="28" t="s">
        <v>818</v>
      </c>
      <c r="F37" s="5"/>
      <c r="G37" s="5"/>
      <c r="H37" s="5"/>
      <c r="I37" s="5"/>
      <c r="J37" s="5"/>
      <c r="K37" s="5"/>
    </row>
    <row r="38" spans="2:11" ht="72.599999999999994" thickBot="1">
      <c r="B38" s="2422"/>
      <c r="C38" s="72"/>
      <c r="D38" s="32" t="s">
        <v>528</v>
      </c>
      <c r="E38" s="28" t="s">
        <v>819</v>
      </c>
      <c r="F38" s="5"/>
      <c r="G38" s="5"/>
      <c r="H38" s="5"/>
      <c r="I38" s="5"/>
      <c r="J38" s="5"/>
      <c r="K38" s="5"/>
    </row>
    <row r="39" spans="2:11" ht="15" thickBot="1">
      <c r="B39" s="2422"/>
      <c r="C39" s="72"/>
      <c r="D39" s="32" t="s">
        <v>811</v>
      </c>
      <c r="E39" s="271"/>
      <c r="F39" s="5"/>
      <c r="G39" s="5"/>
      <c r="H39" s="5"/>
      <c r="I39" s="5"/>
      <c r="J39" s="5"/>
      <c r="K39" s="5"/>
    </row>
    <row r="40" spans="2:11" ht="15" thickBot="1">
      <c r="B40" s="2422"/>
      <c r="C40" s="72"/>
      <c r="D40" s="32" t="s">
        <v>531</v>
      </c>
      <c r="E40" s="271"/>
      <c r="F40" s="5"/>
      <c r="G40" s="5"/>
      <c r="H40" s="5"/>
      <c r="I40" s="5"/>
      <c r="J40" s="5"/>
      <c r="K40" s="5"/>
    </row>
    <row r="41" spans="2:11" ht="15" thickBot="1">
      <c r="B41" s="2422"/>
      <c r="C41" s="72"/>
      <c r="D41" s="32" t="s">
        <v>534</v>
      </c>
      <c r="E41" s="271"/>
      <c r="F41" s="5"/>
      <c r="G41" s="5"/>
      <c r="H41" s="5"/>
      <c r="I41" s="5"/>
      <c r="J41" s="5"/>
      <c r="K41" s="5"/>
    </row>
    <row r="42" spans="2:11" ht="15" thickBot="1">
      <c r="B42" s="2422"/>
      <c r="C42" s="72"/>
      <c r="D42" s="32" t="s">
        <v>537</v>
      </c>
      <c r="E42" s="271"/>
      <c r="F42" s="5"/>
      <c r="G42" s="5"/>
      <c r="H42" s="5"/>
      <c r="I42" s="5"/>
      <c r="J42" s="5"/>
      <c r="K42" s="5"/>
    </row>
    <row r="43" spans="2:11" ht="15" thickBot="1">
      <c r="B43" s="2423"/>
      <c r="C43" s="2"/>
      <c r="D43" s="32" t="s">
        <v>815</v>
      </c>
      <c r="E43" s="271"/>
      <c r="F43" s="5"/>
      <c r="G43" s="5"/>
      <c r="H43" s="5"/>
      <c r="I43" s="5"/>
      <c r="J43" s="5"/>
      <c r="K43" s="5"/>
    </row>
    <row r="44" spans="2:11">
      <c r="B44" s="1"/>
      <c r="C44" s="63"/>
      <c r="D44" s="5"/>
      <c r="E44" s="5"/>
      <c r="F44" s="5"/>
      <c r="G44" s="5"/>
      <c r="H44" s="5"/>
      <c r="I44" s="5"/>
      <c r="J44" s="5"/>
      <c r="K44" s="5"/>
    </row>
    <row r="45" spans="2:11" ht="15" thickBot="1">
      <c r="B45" s="1"/>
      <c r="C45" s="63"/>
      <c r="D45" s="5"/>
      <c r="E45" s="5"/>
      <c r="F45" s="5"/>
      <c r="G45" s="5"/>
      <c r="H45" s="5"/>
      <c r="I45" s="5"/>
      <c r="J45" s="5"/>
      <c r="K45" s="5"/>
    </row>
    <row r="46" spans="2:11" ht="15" customHeight="1" thickBot="1">
      <c r="B46" s="96" t="s">
        <v>820</v>
      </c>
      <c r="C46" s="97"/>
      <c r="D46" s="97"/>
      <c r="E46" s="98"/>
      <c r="G46" s="5"/>
      <c r="H46" s="5"/>
      <c r="I46" s="5"/>
      <c r="J46" s="5"/>
      <c r="K46" s="5"/>
    </row>
    <row r="47" spans="2:11" ht="24.6" thickBot="1">
      <c r="B47" s="37" t="s">
        <v>821</v>
      </c>
      <c r="C47" s="32" t="s">
        <v>822</v>
      </c>
      <c r="D47" s="32" t="s">
        <v>823</v>
      </c>
      <c r="E47" s="32" t="s">
        <v>824</v>
      </c>
      <c r="F47" s="5"/>
      <c r="G47" s="5"/>
      <c r="H47" s="5"/>
      <c r="I47" s="5"/>
      <c r="J47" s="5"/>
    </row>
    <row r="48" spans="2:11" ht="84.6" thickBot="1">
      <c r="B48" s="39">
        <v>42401</v>
      </c>
      <c r="C48" s="32">
        <v>0.01</v>
      </c>
      <c r="D48" s="40" t="s">
        <v>1874</v>
      </c>
      <c r="E48" s="32"/>
      <c r="F48" s="5"/>
      <c r="G48" s="5"/>
      <c r="H48" s="5"/>
      <c r="I48" s="5"/>
      <c r="J48" s="5"/>
    </row>
    <row r="49" spans="2:11" ht="15" thickBot="1">
      <c r="B49" s="3"/>
      <c r="C49" s="73"/>
      <c r="D49" s="5"/>
      <c r="E49" s="5"/>
      <c r="F49" s="5"/>
      <c r="G49" s="5"/>
      <c r="H49" s="5"/>
      <c r="I49" s="5"/>
      <c r="J49" s="5"/>
      <c r="K49" s="5"/>
    </row>
    <row r="50" spans="2:11">
      <c r="B50" s="105" t="s">
        <v>702</v>
      </c>
      <c r="C50" s="74"/>
      <c r="D50" s="5"/>
      <c r="E50" s="5"/>
      <c r="F50" s="5"/>
      <c r="G50" s="5"/>
      <c r="H50" s="5"/>
      <c r="I50" s="5"/>
      <c r="J50" s="5"/>
      <c r="K50" s="5"/>
    </row>
    <row r="51" spans="2:11">
      <c r="B51" s="2747"/>
      <c r="C51" s="2748"/>
      <c r="D51" s="2748"/>
      <c r="E51" s="2749"/>
      <c r="F51" s="5"/>
      <c r="G51" s="5"/>
      <c r="H51" s="5"/>
      <c r="I51" s="5"/>
      <c r="J51" s="5"/>
      <c r="K51" s="5"/>
    </row>
    <row r="52" spans="2:11">
      <c r="B52" s="2750"/>
      <c r="C52" s="2751"/>
      <c r="D52" s="2751"/>
      <c r="E52" s="2752"/>
      <c r="F52" s="5"/>
      <c r="G52" s="5"/>
      <c r="H52" s="5"/>
      <c r="I52" s="5"/>
      <c r="J52" s="5"/>
      <c r="K52" s="5"/>
    </row>
    <row r="53" spans="2:11">
      <c r="B53" s="1"/>
      <c r="C53" s="63"/>
      <c r="D53" s="5"/>
      <c r="E53" s="5"/>
      <c r="F53" s="5"/>
      <c r="G53" s="5"/>
      <c r="H53" s="5"/>
      <c r="I53" s="5"/>
      <c r="J53" s="5"/>
      <c r="K53" s="5"/>
    </row>
    <row r="54" spans="2:11" ht="15" thickBot="1">
      <c r="B54" s="5"/>
      <c r="D54" s="5"/>
      <c r="E54" s="5"/>
      <c r="F54" s="5"/>
      <c r="G54" s="5"/>
      <c r="H54" s="5"/>
      <c r="I54" s="5"/>
      <c r="J54" s="5"/>
      <c r="K54" s="5"/>
    </row>
    <row r="55" spans="2:11" ht="15" thickBot="1">
      <c r="B55" s="2431" t="s">
        <v>826</v>
      </c>
      <c r="C55" s="2432"/>
      <c r="D55" s="2433"/>
      <c r="E55" s="5"/>
      <c r="F55" s="5"/>
      <c r="G55" s="5"/>
      <c r="H55" s="5"/>
      <c r="I55" s="5"/>
      <c r="J55" s="5"/>
      <c r="K55" s="5"/>
    </row>
    <row r="56" spans="2:11" ht="84">
      <c r="B56" s="2421" t="s">
        <v>827</v>
      </c>
      <c r="C56" s="72"/>
      <c r="D56" s="36" t="s">
        <v>1875</v>
      </c>
      <c r="E56" s="5"/>
      <c r="F56" s="5"/>
      <c r="G56" s="5"/>
      <c r="H56" s="5"/>
      <c r="I56" s="5"/>
      <c r="J56" s="5"/>
      <c r="K56" s="5"/>
    </row>
    <row r="57" spans="2:11">
      <c r="B57" s="2422"/>
      <c r="C57" s="72"/>
      <c r="D57" s="43" t="s">
        <v>830</v>
      </c>
      <c r="E57" s="5"/>
      <c r="F57" s="5"/>
      <c r="G57" s="5"/>
      <c r="H57" s="5"/>
      <c r="I57" s="5"/>
      <c r="J57" s="5"/>
      <c r="K57" s="5"/>
    </row>
    <row r="58" spans="2:11" ht="84">
      <c r="B58" s="2422"/>
      <c r="C58" s="72"/>
      <c r="D58" s="36" t="s">
        <v>1876</v>
      </c>
      <c r="E58" s="5"/>
      <c r="F58" s="5"/>
      <c r="G58" s="5"/>
      <c r="H58" s="5"/>
      <c r="I58" s="5"/>
      <c r="J58" s="5"/>
      <c r="K58" s="5"/>
    </row>
    <row r="59" spans="2:11">
      <c r="B59" s="2422"/>
      <c r="C59" s="72"/>
      <c r="D59" s="43" t="s">
        <v>833</v>
      </c>
      <c r="E59" s="5"/>
      <c r="F59" s="5"/>
      <c r="G59" s="5"/>
      <c r="H59" s="5"/>
      <c r="I59" s="5"/>
      <c r="J59" s="5"/>
      <c r="K59" s="5"/>
    </row>
    <row r="60" spans="2:11" ht="240.6" thickBot="1">
      <c r="B60" s="2423"/>
      <c r="C60" s="2"/>
      <c r="D60" s="32" t="s">
        <v>1877</v>
      </c>
      <c r="E60" s="5"/>
      <c r="F60" s="5"/>
      <c r="G60" s="5"/>
      <c r="H60" s="5"/>
      <c r="I60" s="5"/>
      <c r="J60" s="5"/>
      <c r="K60" s="5"/>
    </row>
    <row r="61" spans="2:11" ht="228">
      <c r="B61" s="2421" t="s">
        <v>829</v>
      </c>
      <c r="C61" s="72"/>
      <c r="D61" s="21" t="s">
        <v>1878</v>
      </c>
      <c r="E61" s="5"/>
      <c r="F61" s="5"/>
      <c r="G61" s="5"/>
      <c r="H61" s="5"/>
      <c r="I61" s="5"/>
      <c r="J61" s="5"/>
      <c r="K61" s="5"/>
    </row>
    <row r="62" spans="2:11" ht="168">
      <c r="B62" s="2422"/>
      <c r="C62" s="72"/>
      <c r="D62" s="21" t="s">
        <v>1879</v>
      </c>
      <c r="E62" s="5"/>
      <c r="F62" s="5"/>
      <c r="G62" s="5"/>
      <c r="H62" s="5"/>
      <c r="I62" s="5"/>
      <c r="J62" s="5"/>
      <c r="K62" s="5"/>
    </row>
    <row r="63" spans="2:11" ht="24">
      <c r="B63" s="2422"/>
      <c r="C63" s="72"/>
      <c r="D63" s="21" t="s">
        <v>1880</v>
      </c>
      <c r="E63" s="5"/>
      <c r="F63" s="5"/>
      <c r="G63" s="5"/>
      <c r="H63" s="5"/>
      <c r="I63" s="5"/>
      <c r="J63" s="5"/>
      <c r="K63" s="5"/>
    </row>
    <row r="64" spans="2:11" ht="24">
      <c r="B64" s="2422"/>
      <c r="C64" s="72"/>
      <c r="D64" s="21" t="s">
        <v>1881</v>
      </c>
      <c r="E64" s="5"/>
      <c r="F64" s="5"/>
      <c r="G64" s="5"/>
      <c r="H64" s="5"/>
      <c r="I64" s="5"/>
      <c r="J64" s="5"/>
      <c r="K64" s="5"/>
    </row>
    <row r="65" spans="2:11">
      <c r="B65" s="2422"/>
      <c r="C65" s="72"/>
      <c r="D65" s="43" t="s">
        <v>1085</v>
      </c>
      <c r="E65" s="5"/>
      <c r="F65" s="5"/>
      <c r="G65" s="5"/>
      <c r="H65" s="5"/>
      <c r="I65" s="5"/>
      <c r="J65" s="5"/>
      <c r="K65" s="5"/>
    </row>
    <row r="66" spans="2:11" ht="15" thickBot="1">
      <c r="B66" s="2423"/>
      <c r="C66" s="2"/>
      <c r="D66" s="32" t="s">
        <v>1086</v>
      </c>
      <c r="E66" s="5"/>
      <c r="F66" s="5"/>
      <c r="G66" s="5"/>
      <c r="H66" s="5"/>
      <c r="I66" s="5"/>
      <c r="J66" s="5"/>
      <c r="K66" s="5"/>
    </row>
    <row r="67" spans="2:11" ht="24.6" thickBot="1">
      <c r="B67" s="37" t="s">
        <v>842</v>
      </c>
      <c r="C67" s="2"/>
      <c r="D67" s="32"/>
      <c r="E67" s="5"/>
      <c r="F67" s="5"/>
      <c r="G67" s="5"/>
      <c r="H67" s="5"/>
      <c r="I67" s="5"/>
      <c r="J67" s="5"/>
      <c r="K67" s="5"/>
    </row>
    <row r="68" spans="2:11" ht="252">
      <c r="B68" s="2421" t="s">
        <v>843</v>
      </c>
      <c r="C68" s="72"/>
      <c r="D68" s="36" t="s">
        <v>1882</v>
      </c>
      <c r="E68" s="5"/>
      <c r="F68" s="5"/>
      <c r="G68" s="5"/>
      <c r="H68" s="5"/>
      <c r="I68" s="5"/>
      <c r="J68" s="5"/>
      <c r="K68" s="5"/>
    </row>
    <row r="69" spans="2:11" ht="144">
      <c r="B69" s="2422"/>
      <c r="C69" s="72"/>
      <c r="D69" s="36" t="s">
        <v>1883</v>
      </c>
      <c r="E69" s="5"/>
      <c r="F69" s="5"/>
      <c r="G69" s="5"/>
      <c r="H69" s="5"/>
      <c r="I69" s="5"/>
      <c r="J69" s="5"/>
      <c r="K69" s="5"/>
    </row>
    <row r="70" spans="2:11" ht="84">
      <c r="B70" s="2422"/>
      <c r="C70" s="72"/>
      <c r="D70" s="36" t="s">
        <v>1884</v>
      </c>
      <c r="E70" s="5"/>
      <c r="F70" s="5"/>
      <c r="G70" s="5"/>
      <c r="H70" s="5"/>
      <c r="I70" s="5"/>
      <c r="J70" s="5"/>
      <c r="K70" s="5"/>
    </row>
    <row r="71" spans="2:11" ht="72">
      <c r="B71" s="2422"/>
      <c r="C71" s="72"/>
      <c r="D71" s="36" t="s">
        <v>1885</v>
      </c>
      <c r="E71" s="5"/>
      <c r="F71" s="5"/>
      <c r="G71" s="5"/>
      <c r="H71" s="5"/>
      <c r="I71" s="5"/>
      <c r="J71" s="5"/>
      <c r="K71" s="5"/>
    </row>
    <row r="72" spans="2:11" ht="168">
      <c r="B72" s="2422"/>
      <c r="C72" s="72"/>
      <c r="D72" s="36" t="s">
        <v>1886</v>
      </c>
      <c r="E72" s="5"/>
      <c r="F72" s="5"/>
      <c r="G72" s="5"/>
      <c r="H72" s="5"/>
      <c r="I72" s="5"/>
      <c r="J72" s="5"/>
      <c r="K72" s="5"/>
    </row>
    <row r="73" spans="2:11" ht="36">
      <c r="B73" s="2422"/>
      <c r="C73" s="72"/>
      <c r="D73" s="36" t="s">
        <v>1887</v>
      </c>
      <c r="E73" s="5"/>
      <c r="F73" s="5"/>
      <c r="G73" s="5"/>
      <c r="H73" s="5"/>
      <c r="I73" s="5"/>
      <c r="J73" s="5"/>
      <c r="K73" s="5"/>
    </row>
    <row r="74" spans="2:11" ht="60">
      <c r="B74" s="2422"/>
      <c r="C74" s="72"/>
      <c r="D74" s="51" t="s">
        <v>1888</v>
      </c>
      <c r="E74" s="5"/>
      <c r="F74" s="5"/>
      <c r="G74" s="5"/>
      <c r="H74" s="5"/>
      <c r="I74" s="5"/>
      <c r="J74" s="5"/>
      <c r="K74" s="5"/>
    </row>
    <row r="75" spans="2:11" ht="48">
      <c r="B75" s="2422"/>
      <c r="C75" s="72"/>
      <c r="D75" s="51" t="s">
        <v>1889</v>
      </c>
      <c r="E75" s="5"/>
      <c r="F75" s="5"/>
      <c r="G75" s="5"/>
      <c r="H75" s="5"/>
      <c r="I75" s="5"/>
      <c r="J75" s="5"/>
      <c r="K75" s="5"/>
    </row>
    <row r="76" spans="2:11" ht="40.200000000000003" thickBot="1">
      <c r="B76" s="2423"/>
      <c r="C76" s="2"/>
      <c r="D76" s="52" t="s">
        <v>1890</v>
      </c>
      <c r="E76" s="5"/>
      <c r="F76" s="5"/>
      <c r="G76" s="5"/>
      <c r="H76" s="5"/>
      <c r="I76" s="5"/>
      <c r="J76" s="5"/>
      <c r="K76" s="5"/>
    </row>
    <row r="77" spans="2:11" ht="15" thickBot="1">
      <c r="B77" s="1"/>
      <c r="C77" s="63"/>
      <c r="D77" s="5"/>
      <c r="E77" s="5"/>
      <c r="F77" s="5"/>
      <c r="G77" s="5"/>
      <c r="H77" s="5"/>
      <c r="I77" s="5"/>
      <c r="J77" s="5"/>
      <c r="K77" s="5"/>
    </row>
    <row r="78" spans="2:11" ht="36">
      <c r="B78" s="2421" t="s">
        <v>860</v>
      </c>
      <c r="C78" s="83"/>
      <c r="D78" s="54" t="s">
        <v>1891</v>
      </c>
      <c r="E78" s="5"/>
      <c r="F78" s="5"/>
      <c r="G78" s="5"/>
      <c r="H78" s="5"/>
      <c r="I78" s="5"/>
      <c r="J78" s="5"/>
      <c r="K78" s="5"/>
    </row>
    <row r="79" spans="2:11">
      <c r="B79" s="2422"/>
      <c r="C79" s="72"/>
      <c r="D79" s="13"/>
      <c r="E79" s="5"/>
      <c r="F79" s="5"/>
      <c r="G79" s="5"/>
      <c r="H79" s="5"/>
      <c r="I79" s="5"/>
      <c r="J79" s="5"/>
      <c r="K79" s="5"/>
    </row>
    <row r="80" spans="2:11">
      <c r="B80" s="2422"/>
      <c r="C80" s="72"/>
      <c r="D80" s="36" t="s">
        <v>861</v>
      </c>
      <c r="E80" s="5"/>
      <c r="F80" s="5"/>
      <c r="G80" s="5"/>
      <c r="H80" s="5"/>
      <c r="I80" s="5"/>
      <c r="J80" s="5"/>
      <c r="K80" s="5"/>
    </row>
    <row r="81" spans="2:11" ht="62.4">
      <c r="B81" s="2422"/>
      <c r="C81" s="72"/>
      <c r="D81" s="36" t="s">
        <v>1892</v>
      </c>
      <c r="E81" s="5"/>
      <c r="F81" s="5"/>
      <c r="G81" s="5"/>
      <c r="H81" s="5"/>
      <c r="I81" s="5"/>
      <c r="J81" s="5"/>
      <c r="K81" s="5"/>
    </row>
    <row r="82" spans="2:11" ht="62.4">
      <c r="B82" s="2422"/>
      <c r="C82" s="72"/>
      <c r="D82" s="36" t="s">
        <v>1893</v>
      </c>
      <c r="E82" s="5"/>
      <c r="F82" s="5"/>
      <c r="G82" s="5"/>
      <c r="H82" s="5"/>
      <c r="I82" s="5"/>
      <c r="J82" s="5"/>
      <c r="K82" s="5"/>
    </row>
    <row r="83" spans="2:11" ht="63" thickBot="1">
      <c r="B83" s="2423"/>
      <c r="C83" s="2"/>
      <c r="D83" s="32" t="s">
        <v>1894</v>
      </c>
      <c r="E83" s="5"/>
      <c r="F83" s="5"/>
      <c r="G83" s="5"/>
      <c r="H83" s="5"/>
      <c r="I83" s="5"/>
      <c r="J83" s="5"/>
      <c r="K83" s="5"/>
    </row>
    <row r="84" spans="2:11">
      <c r="B84" s="5"/>
      <c r="D84" s="5"/>
      <c r="E84" s="5"/>
      <c r="F84" s="5"/>
      <c r="G84" s="5"/>
      <c r="H84" s="5"/>
      <c r="I84" s="5"/>
      <c r="J84" s="5"/>
      <c r="K84" s="5"/>
    </row>
  </sheetData>
  <sheetProtection insertRows="0"/>
  <mergeCells count="30">
    <mergeCell ref="G23:H23"/>
    <mergeCell ref="D13:J13"/>
    <mergeCell ref="D18:J18"/>
    <mergeCell ref="D19:J19"/>
    <mergeCell ref="A1:P1"/>
    <mergeCell ref="A2:P2"/>
    <mergeCell ref="A3:P3"/>
    <mergeCell ref="A4:D4"/>
    <mergeCell ref="A5:P5"/>
    <mergeCell ref="B9:D9"/>
    <mergeCell ref="F9:S9"/>
    <mergeCell ref="F10:S10"/>
    <mergeCell ref="E11:R11"/>
    <mergeCell ref="E12:R12"/>
    <mergeCell ref="B56:B60"/>
    <mergeCell ref="B61:B66"/>
    <mergeCell ref="B68:B76"/>
    <mergeCell ref="B78:B83"/>
    <mergeCell ref="B13:B23"/>
    <mergeCell ref="B55:D55"/>
    <mergeCell ref="D24:J24"/>
    <mergeCell ref="D25:J25"/>
    <mergeCell ref="B27:E27"/>
    <mergeCell ref="B28:B34"/>
    <mergeCell ref="B36:E36"/>
    <mergeCell ref="B37:B43"/>
    <mergeCell ref="B51:E52"/>
    <mergeCell ref="G20:H20"/>
    <mergeCell ref="G21:H21"/>
    <mergeCell ref="G22:H22"/>
  </mergeCells>
  <conditionalFormatting sqref="E11:R11">
    <cfRule type="expression" dxfId="24" priority="1">
      <formula>E10="SI SE REPORTA"</formula>
    </cfRule>
  </conditionalFormatting>
  <conditionalFormatting sqref="F9">
    <cfRule type="notContainsBlanks" dxfId="23" priority="4">
      <formula>LEN(TRIM(F9))&gt;0</formula>
    </cfRule>
  </conditionalFormatting>
  <conditionalFormatting sqref="F10:S10">
    <cfRule type="expression" dxfId="22" priority="2">
      <formula>E10="NO SE REPORTA"</formula>
    </cfRule>
    <cfRule type="expression" dxfId="21" priority="3">
      <formula>E9="NO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23" xr:uid="{00000000-0002-0000-1C00-000000000000}">
      <formula1>0</formula1>
    </dataValidation>
    <dataValidation type="list" allowBlank="1" showInputMessage="1" showErrorMessage="1" sqref="E10" xr:uid="{00000000-0002-0000-1C00-000001000000}">
      <formula1>REPORTE</formula1>
    </dataValidation>
    <dataValidation type="list" allowBlank="1" showInputMessage="1" showErrorMessage="1" sqref="E9" xr:uid="{00000000-0002-0000-1C00-000002000000}">
      <formula1>SI</formula1>
    </dataValidation>
  </dataValidations>
  <hyperlinks>
    <hyperlink ref="B8" location="'ANEXO 3'!A1" display="VOLVER AL INDICE" xr:uid="{00000000-0004-0000-1C00-000000000000}"/>
    <hyperlink ref="E32" r:id="rId1" xr:uid="{00000000-0004-0000-1C00-000001000000}"/>
  </hyperlinks>
  <pageMargins left="0.25" right="0.25" top="0.75" bottom="0.75" header="0.3" footer="0.3"/>
  <pageSetup paperSize="178" orientation="landscape" horizontalDpi="1200" verticalDpi="1200" r:id="rId2"/>
  <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5"/>
  <dimension ref="A1:U139"/>
  <sheetViews>
    <sheetView topLeftCell="A85" workbookViewId="0">
      <selection activeCell="J103" sqref="J103"/>
    </sheetView>
  </sheetViews>
  <sheetFormatPr baseColWidth="10" defaultColWidth="11.44140625" defaultRowHeight="14.4"/>
  <cols>
    <col min="1" max="1" width="1.88671875" customWidth="1"/>
    <col min="2" max="2" width="10.44140625" customWidth="1"/>
    <col min="3" max="3" width="8.33203125" style="65" customWidth="1"/>
    <col min="4" max="4" width="34.88671875" customWidth="1"/>
    <col min="5" max="5" width="24.109375" customWidth="1"/>
    <col min="6" max="6" width="15.88671875"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
        <v>520</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16.5" customHeight="1" thickBot="1">
      <c r="A5" s="2392" t="s">
        <v>34</v>
      </c>
      <c r="B5" s="2393"/>
      <c r="C5" s="2393"/>
      <c r="D5" s="2393"/>
      <c r="E5" s="2393"/>
      <c r="F5" s="2393"/>
      <c r="G5" s="2393"/>
      <c r="H5" s="2393"/>
      <c r="I5" s="2393"/>
      <c r="J5" s="2393"/>
      <c r="K5" s="2393"/>
      <c r="L5" s="2393"/>
      <c r="M5" s="2393"/>
      <c r="N5" s="2393"/>
      <c r="O5" s="2393"/>
      <c r="P5" s="2394"/>
    </row>
    <row r="6" spans="1:21">
      <c r="B6" s="1" t="s">
        <v>736</v>
      </c>
      <c r="C6" s="63"/>
      <c r="D6" s="5"/>
      <c r="E6" s="160"/>
      <c r="F6" s="5" t="s">
        <v>737</v>
      </c>
      <c r="G6" s="5"/>
      <c r="H6" s="5"/>
      <c r="I6" s="5"/>
      <c r="J6" s="5"/>
      <c r="K6" s="5"/>
    </row>
    <row r="7" spans="1:21" ht="15" thickBot="1">
      <c r="B7" s="62"/>
      <c r="C7" s="64"/>
      <c r="D7" s="5"/>
      <c r="E7" s="14"/>
      <c r="F7" s="5" t="s">
        <v>738</v>
      </c>
      <c r="G7" s="5"/>
      <c r="H7" s="5"/>
      <c r="I7" s="5"/>
      <c r="J7" s="5"/>
      <c r="K7" s="5"/>
    </row>
    <row r="8" spans="1:21" ht="15" thickBot="1">
      <c r="B8" s="141" t="s">
        <v>739</v>
      </c>
      <c r="C8" s="769">
        <v>2025</v>
      </c>
      <c r="D8" s="164">
        <f>IF(E10="NO APLICA","NO APLICA",IF(E11="NO SE REPORTA","SIN INFORMACION",+F81))</f>
        <v>0</v>
      </c>
      <c r="E8" s="161"/>
      <c r="F8" s="5" t="s">
        <v>740</v>
      </c>
      <c r="G8" s="5"/>
      <c r="H8" s="5"/>
      <c r="I8" s="5"/>
      <c r="J8" s="5"/>
      <c r="K8" s="5"/>
    </row>
    <row r="9" spans="1:21">
      <c r="B9" s="290" t="s">
        <v>741</v>
      </c>
      <c r="C9" s="66"/>
      <c r="D9" s="5"/>
      <c r="E9" s="5"/>
      <c r="F9" s="5"/>
      <c r="G9" s="5"/>
      <c r="H9" s="5"/>
      <c r="I9" s="5"/>
      <c r="J9" s="5"/>
      <c r="K9" s="5"/>
    </row>
    <row r="10" spans="1:21">
      <c r="B10" s="2395" t="s">
        <v>742</v>
      </c>
      <c r="C10" s="2395"/>
      <c r="D10" s="2395"/>
      <c r="E10" s="293" t="s">
        <v>743</v>
      </c>
      <c r="F10" s="2777"/>
      <c r="G10" s="2778"/>
      <c r="H10" s="2778"/>
      <c r="I10" s="2778"/>
      <c r="J10" s="2778"/>
      <c r="K10" s="2778"/>
      <c r="L10" s="2778"/>
      <c r="M10" s="2778"/>
      <c r="N10" s="2778"/>
      <c r="O10" s="2778"/>
      <c r="P10" s="2778"/>
      <c r="Q10" s="2778"/>
      <c r="R10" s="2778"/>
      <c r="S10" s="2778"/>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57.75" customHeight="1">
      <c r="B12" s="290"/>
      <c r="C12" s="66"/>
      <c r="D12" s="141" t="str">
        <f>IF(E11="SI SE REPORTA","¿Qué programas o proyectos del Plan de Acción están asociados al indicador? ","")</f>
        <v xml:space="preserve">¿Qué programas o proyectos del Plan de Acción están asociados al indicador? </v>
      </c>
      <c r="E12" s="2547" t="s">
        <v>1895</v>
      </c>
      <c r="F12" s="2547"/>
      <c r="G12" s="2547"/>
      <c r="H12" s="2547"/>
      <c r="I12" s="2547"/>
      <c r="J12" s="2547"/>
      <c r="K12" s="2547"/>
      <c r="L12" s="2547"/>
      <c r="M12" s="2547"/>
      <c r="N12" s="2547"/>
      <c r="O12" s="2547"/>
      <c r="P12" s="2547"/>
      <c r="Q12" s="2547"/>
      <c r="R12" s="2547"/>
    </row>
    <row r="13" spans="1:21" ht="120.6" customHeight="1">
      <c r="B13" s="290"/>
      <c r="C13" s="66"/>
      <c r="D13" s="141" t="s">
        <v>746</v>
      </c>
      <c r="E13" s="2585" t="s">
        <v>1896</v>
      </c>
      <c r="F13" s="2586"/>
      <c r="G13" s="2586"/>
      <c r="H13" s="2586"/>
      <c r="I13" s="2586"/>
      <c r="J13" s="2586"/>
      <c r="K13" s="2586"/>
      <c r="L13" s="2586"/>
      <c r="M13" s="2586"/>
      <c r="N13" s="2586"/>
      <c r="O13" s="2586"/>
      <c r="P13" s="2586"/>
      <c r="Q13" s="2586"/>
      <c r="R13" s="2587"/>
    </row>
    <row r="14" spans="1:21" ht="16.5" customHeight="1" thickBot="1">
      <c r="B14" s="290"/>
      <c r="C14" s="66"/>
      <c r="D14" s="5"/>
      <c r="E14" s="5"/>
      <c r="F14" s="5"/>
      <c r="G14" s="5"/>
      <c r="H14" s="5"/>
      <c r="I14" s="5"/>
      <c r="J14" s="5"/>
      <c r="K14" s="5"/>
    </row>
    <row r="15" spans="1:21" ht="15" customHeight="1" thickTop="1">
      <c r="B15" s="2548" t="s">
        <v>747</v>
      </c>
      <c r="C15" s="67"/>
      <c r="D15" s="2412" t="s">
        <v>748</v>
      </c>
      <c r="E15" s="2413"/>
      <c r="F15" s="2413"/>
      <c r="G15" s="2413"/>
      <c r="H15" s="2413"/>
      <c r="I15" s="2413"/>
      <c r="J15" s="2413"/>
      <c r="K15" s="2413"/>
      <c r="L15" s="2634"/>
      <c r="M15" s="2615"/>
    </row>
    <row r="16" spans="1:21">
      <c r="B16" s="2453"/>
      <c r="C16" s="70"/>
      <c r="D16" s="2674" t="s">
        <v>1897</v>
      </c>
      <c r="E16" s="2675"/>
      <c r="F16" s="2675"/>
      <c r="G16" s="2675"/>
      <c r="H16" s="2675"/>
      <c r="I16" s="2675"/>
      <c r="J16" s="2675"/>
      <c r="K16" s="2675"/>
      <c r="L16" s="2766"/>
      <c r="M16" s="2706"/>
    </row>
    <row r="17" spans="2:13" ht="15" thickBot="1">
      <c r="B17" s="2453"/>
      <c r="C17" s="70"/>
      <c r="D17" s="2403" t="s">
        <v>1898</v>
      </c>
      <c r="E17" s="2404"/>
      <c r="F17" s="2404"/>
      <c r="G17" s="2404"/>
      <c r="H17" s="2404"/>
      <c r="I17" s="2404"/>
      <c r="J17" s="2404"/>
      <c r="K17" s="2404"/>
      <c r="L17" s="2618"/>
      <c r="M17" s="2598"/>
    </row>
    <row r="18" spans="2:13" ht="15" thickBot="1">
      <c r="B18" s="2453"/>
      <c r="C18" s="72"/>
      <c r="D18" s="2768" t="s">
        <v>1899</v>
      </c>
      <c r="E18" s="2628" t="s">
        <v>1900</v>
      </c>
      <c r="F18" s="2630"/>
      <c r="G18" s="2628" t="s">
        <v>1901</v>
      </c>
      <c r="H18" s="2630"/>
      <c r="I18" s="2628" t="s">
        <v>905</v>
      </c>
      <c r="J18" s="2630"/>
      <c r="K18" s="49"/>
      <c r="M18" s="10"/>
    </row>
    <row r="19" spans="2:13" ht="15" thickBot="1">
      <c r="B19" s="2453"/>
      <c r="C19" s="72"/>
      <c r="D19" s="2769"/>
      <c r="E19" s="31" t="s">
        <v>1902</v>
      </c>
      <c r="F19" s="31" t="s">
        <v>1903</v>
      </c>
      <c r="G19" s="31" t="s">
        <v>1902</v>
      </c>
      <c r="H19" s="31" t="s">
        <v>1903</v>
      </c>
      <c r="I19" s="31" t="s">
        <v>1902</v>
      </c>
      <c r="J19" s="31" t="s">
        <v>1903</v>
      </c>
      <c r="M19" s="10"/>
    </row>
    <row r="20" spans="2:13" ht="15" thickBot="1">
      <c r="B20" s="168"/>
      <c r="C20" s="72"/>
      <c r="D20" s="31" t="s">
        <v>1904</v>
      </c>
      <c r="E20" s="6">
        <v>0</v>
      </c>
      <c r="F20" s="6">
        <v>0</v>
      </c>
      <c r="G20" s="6">
        <v>0</v>
      </c>
      <c r="H20" s="6">
        <v>0</v>
      </c>
      <c r="I20" s="710">
        <f>+E20+G20</f>
        <v>0</v>
      </c>
      <c r="J20" s="710">
        <f>+F20+H20</f>
        <v>0</v>
      </c>
      <c r="M20" s="10"/>
    </row>
    <row r="21" spans="2:13">
      <c r="B21" s="168"/>
      <c r="C21" s="79"/>
      <c r="D21" s="2403"/>
      <c r="E21" s="2404"/>
      <c r="F21" s="2404"/>
      <c r="G21" s="2404"/>
      <c r="H21" s="2404"/>
      <c r="I21" s="2404"/>
      <c r="J21" s="2404"/>
      <c r="K21" s="2404"/>
      <c r="L21" s="2618"/>
      <c r="M21" s="2598"/>
    </row>
    <row r="22" spans="2:13" ht="15" thickBot="1">
      <c r="B22" s="168"/>
      <c r="C22" s="70"/>
      <c r="D22" s="106"/>
      <c r="E22" s="106"/>
      <c r="F22" s="280" t="s">
        <v>702</v>
      </c>
      <c r="G22" s="106"/>
      <c r="H22" s="106"/>
      <c r="I22" s="106"/>
      <c r="J22" s="106"/>
      <c r="K22" s="106"/>
      <c r="L22" s="277"/>
      <c r="M22" s="278"/>
    </row>
    <row r="23" spans="2:13" ht="24.6" thickBot="1">
      <c r="B23" s="168"/>
      <c r="C23" s="72"/>
      <c r="D23" s="34" t="s">
        <v>1905</v>
      </c>
      <c r="E23" s="711">
        <v>0</v>
      </c>
      <c r="F23" s="279" t="s">
        <v>1906</v>
      </c>
      <c r="G23" s="5"/>
      <c r="H23" s="5"/>
      <c r="I23" s="5"/>
      <c r="J23" s="5"/>
      <c r="K23" s="5"/>
      <c r="M23" s="10"/>
    </row>
    <row r="24" spans="2:13" ht="24.6" thickBot="1">
      <c r="B24" s="168"/>
      <c r="C24" s="72"/>
      <c r="D24" s="32" t="s">
        <v>1907</v>
      </c>
      <c r="E24" s="711">
        <v>0</v>
      </c>
      <c r="F24" s="147"/>
      <c r="G24" s="5"/>
      <c r="H24" s="5"/>
      <c r="I24" s="5"/>
      <c r="J24" s="5"/>
      <c r="K24" s="5"/>
      <c r="M24" s="10"/>
    </row>
    <row r="25" spans="2:13" ht="24.6" thickBot="1">
      <c r="B25" s="168"/>
      <c r="C25" s="72"/>
      <c r="D25" s="32" t="s">
        <v>1908</v>
      </c>
      <c r="E25" s="268" t="str">
        <f>+IFERROR(E24/E23," ")</f>
        <v xml:space="preserve"> </v>
      </c>
      <c r="F25" s="147"/>
      <c r="G25" s="5"/>
      <c r="H25" s="5"/>
      <c r="I25" s="5"/>
      <c r="J25" s="5"/>
      <c r="K25" s="5"/>
      <c r="M25" s="10"/>
    </row>
    <row r="26" spans="2:13">
      <c r="B26" s="168"/>
      <c r="C26" s="70"/>
      <c r="D26" s="2674" t="s">
        <v>1909</v>
      </c>
      <c r="E26" s="2675"/>
      <c r="F26" s="2675"/>
      <c r="G26" s="2675"/>
      <c r="H26" s="2675"/>
      <c r="I26" s="2675"/>
      <c r="J26" s="2675"/>
      <c r="K26" s="2675"/>
      <c r="L26" s="2766"/>
      <c r="M26" s="2706"/>
    </row>
    <row r="27" spans="2:13" ht="15" thickBot="1">
      <c r="B27" s="168"/>
      <c r="C27" s="70"/>
      <c r="D27" s="2415" t="s">
        <v>1910</v>
      </c>
      <c r="E27" s="2416"/>
      <c r="F27" s="2416"/>
      <c r="G27" s="2416"/>
      <c r="H27" s="2416"/>
      <c r="I27" s="2416"/>
      <c r="J27" s="2416"/>
      <c r="K27" s="2416"/>
      <c r="L27" s="2617"/>
      <c r="M27" s="2599"/>
    </row>
    <row r="28" spans="2:13" ht="24.6" thickBot="1">
      <c r="B28" s="168"/>
      <c r="C28" s="72"/>
      <c r="D28" s="34" t="s">
        <v>1911</v>
      </c>
      <c r="E28" s="267">
        <v>1</v>
      </c>
      <c r="F28" s="5"/>
      <c r="G28" s="5"/>
      <c r="H28" s="5"/>
      <c r="I28" s="5"/>
      <c r="J28" s="5"/>
      <c r="K28" s="5"/>
      <c r="M28" s="10"/>
    </row>
    <row r="29" spans="2:13" ht="24.6" thickBot="1">
      <c r="B29" s="168"/>
      <c r="C29" s="72"/>
      <c r="D29" s="32" t="s">
        <v>1912</v>
      </c>
      <c r="E29" s="267">
        <v>2</v>
      </c>
      <c r="F29" s="5"/>
      <c r="G29" s="5"/>
      <c r="H29" s="5"/>
      <c r="I29" s="5"/>
      <c r="J29" s="5"/>
      <c r="K29" s="5"/>
      <c r="M29" s="10"/>
    </row>
    <row r="30" spans="2:13" ht="24.6" thickBot="1">
      <c r="B30" s="168"/>
      <c r="C30" s="72"/>
      <c r="D30" s="32" t="s">
        <v>1913</v>
      </c>
      <c r="E30" s="267">
        <v>0</v>
      </c>
      <c r="F30" s="5"/>
      <c r="G30" s="5"/>
      <c r="H30" s="5"/>
      <c r="I30" s="5"/>
      <c r="J30" s="5"/>
      <c r="K30" s="5"/>
      <c r="M30" s="10"/>
    </row>
    <row r="31" spans="2:13" ht="15" thickBot="1">
      <c r="B31" s="168"/>
      <c r="C31" s="70"/>
      <c r="D31" s="2434" t="s">
        <v>1914</v>
      </c>
      <c r="E31" s="2435"/>
      <c r="F31" s="2435"/>
      <c r="G31" s="2435"/>
      <c r="H31" s="2435"/>
      <c r="I31" s="2435"/>
      <c r="J31" s="2435"/>
      <c r="K31" s="2435"/>
      <c r="L31" s="2767"/>
      <c r="M31" s="2600"/>
    </row>
    <row r="32" spans="2:13" ht="15" thickBot="1">
      <c r="B32" s="168"/>
      <c r="C32" s="76" t="s">
        <v>698</v>
      </c>
      <c r="D32" s="34" t="s">
        <v>1915</v>
      </c>
      <c r="E32" s="6">
        <v>1</v>
      </c>
      <c r="F32" s="157">
        <v>1</v>
      </c>
      <c r="G32" s="199"/>
      <c r="H32" s="199"/>
      <c r="I32" s="199"/>
      <c r="J32" s="199"/>
      <c r="K32" s="199"/>
      <c r="L32" s="265"/>
      <c r="M32" s="94"/>
    </row>
    <row r="33" spans="2:13" ht="24.6" thickBot="1">
      <c r="B33" s="168"/>
      <c r="C33" s="2" t="s">
        <v>906</v>
      </c>
      <c r="D33" s="32" t="s">
        <v>1916</v>
      </c>
      <c r="E33" s="6" t="s">
        <v>1917</v>
      </c>
      <c r="F33" s="6" t="s">
        <v>1918</v>
      </c>
      <c r="G33" s="281"/>
      <c r="H33" s="281"/>
      <c r="I33" s="281"/>
      <c r="J33" s="281"/>
      <c r="K33" s="281"/>
      <c r="L33" s="282"/>
      <c r="M33" s="8"/>
    </row>
    <row r="34" spans="2:13" ht="15" thickBot="1">
      <c r="B34" s="168"/>
      <c r="C34" s="2" t="s">
        <v>908</v>
      </c>
      <c r="D34" s="102" t="s">
        <v>1919</v>
      </c>
      <c r="E34" s="561"/>
      <c r="F34" s="558"/>
      <c r="G34" s="284"/>
      <c r="H34" s="284"/>
      <c r="I34" s="284"/>
      <c r="J34" s="284"/>
      <c r="K34" s="284"/>
      <c r="L34" s="285"/>
      <c r="M34" s="10"/>
    </row>
    <row r="35" spans="2:13" ht="15" thickBot="1">
      <c r="B35" s="168"/>
      <c r="C35" s="2" t="s">
        <v>910</v>
      </c>
      <c r="D35" s="102" t="s">
        <v>1920</v>
      </c>
      <c r="E35" s="561">
        <v>365</v>
      </c>
      <c r="F35" s="559">
        <v>365</v>
      </c>
      <c r="G35" s="267"/>
      <c r="H35" s="267"/>
      <c r="I35" s="267"/>
      <c r="J35" s="267"/>
      <c r="K35" s="267"/>
      <c r="L35" s="286"/>
      <c r="M35" s="10"/>
    </row>
    <row r="36" spans="2:13" ht="15" thickBot="1">
      <c r="B36" s="168"/>
      <c r="C36" s="2" t="s">
        <v>1008</v>
      </c>
      <c r="D36" s="102" t="s">
        <v>1921</v>
      </c>
      <c r="E36" s="562">
        <v>335</v>
      </c>
      <c r="F36" s="560">
        <v>335</v>
      </c>
      <c r="G36" s="287"/>
      <c r="H36" s="287"/>
      <c r="I36" s="287"/>
      <c r="J36" s="287"/>
      <c r="K36" s="287"/>
      <c r="L36" s="288"/>
      <c r="M36" s="10"/>
    </row>
    <row r="37" spans="2:13" ht="24.6" thickBot="1">
      <c r="B37" s="168"/>
      <c r="C37" s="2549" t="s">
        <v>1010</v>
      </c>
      <c r="D37" s="36" t="s">
        <v>1922</v>
      </c>
      <c r="E37" s="283">
        <f>IFERROR(E36/E35,"N.A.")</f>
        <v>0.9178082191780822</v>
      </c>
      <c r="F37" s="283">
        <f t="shared" ref="F37:L37" si="0">IFERROR(F36/F35,"N.A.")</f>
        <v>0.9178082191780822</v>
      </c>
      <c r="G37" s="283" t="str">
        <f t="shared" si="0"/>
        <v>N.A.</v>
      </c>
      <c r="H37" s="283" t="str">
        <f t="shared" si="0"/>
        <v>N.A.</v>
      </c>
      <c r="I37" s="283" t="str">
        <f t="shared" si="0"/>
        <v>N.A.</v>
      </c>
      <c r="J37" s="283" t="str">
        <f t="shared" si="0"/>
        <v>N.A.</v>
      </c>
      <c r="K37" s="283" t="str">
        <f t="shared" si="0"/>
        <v>N.A.</v>
      </c>
      <c r="L37" s="283" t="str">
        <f t="shared" si="0"/>
        <v>N.A.</v>
      </c>
      <c r="M37" s="8"/>
    </row>
    <row r="38" spans="2:13" ht="15" thickBot="1">
      <c r="B38" s="168"/>
      <c r="C38" s="2550"/>
      <c r="D38" s="32" t="s">
        <v>1923</v>
      </c>
      <c r="E38" s="120">
        <f>+IF(E37="N.A.","N.A.",IF(E37&gt;=75%,1,0))</f>
        <v>1</v>
      </c>
      <c r="F38" s="120">
        <f t="shared" ref="F38:L38" si="1">+IF(F37="N.A.","N.A.",IF(F37&gt;=75%,1,0))</f>
        <v>1</v>
      </c>
      <c r="G38" s="120" t="str">
        <f t="shared" si="1"/>
        <v>N.A.</v>
      </c>
      <c r="H38" s="120" t="str">
        <f t="shared" si="1"/>
        <v>N.A.</v>
      </c>
      <c r="I38" s="120" t="str">
        <f t="shared" si="1"/>
        <v>N.A.</v>
      </c>
      <c r="J38" s="120" t="str">
        <f t="shared" si="1"/>
        <v>N.A.</v>
      </c>
      <c r="K38" s="120" t="str">
        <f t="shared" si="1"/>
        <v>N.A.</v>
      </c>
      <c r="L38" s="120" t="str">
        <f t="shared" si="1"/>
        <v>N.A.</v>
      </c>
      <c r="M38" s="8"/>
    </row>
    <row r="39" spans="2:13" ht="15" thickBot="1">
      <c r="B39" s="168"/>
      <c r="C39" s="2" t="s">
        <v>1012</v>
      </c>
      <c r="D39" s="32" t="s">
        <v>1924</v>
      </c>
      <c r="E39" s="25"/>
      <c r="F39" s="25"/>
      <c r="G39" s="25"/>
      <c r="H39" s="25"/>
      <c r="I39" s="25"/>
      <c r="J39" s="25"/>
      <c r="K39" s="25"/>
      <c r="L39" s="25"/>
      <c r="M39" s="9"/>
    </row>
    <row r="40" spans="2:13">
      <c r="B40" s="168"/>
      <c r="C40" s="70"/>
      <c r="D40" s="2412"/>
      <c r="E40" s="2413"/>
      <c r="F40" s="2413"/>
      <c r="G40" s="2413"/>
      <c r="H40" s="2413"/>
      <c r="I40" s="2413"/>
      <c r="J40" s="2413"/>
      <c r="K40" s="2413"/>
      <c r="L40" s="2634"/>
      <c r="M40" s="2615"/>
    </row>
    <row r="41" spans="2:13" ht="15" thickBot="1">
      <c r="B41" s="168"/>
      <c r="C41" s="70"/>
      <c r="D41" s="2403" t="s">
        <v>1925</v>
      </c>
      <c r="E41" s="2404"/>
      <c r="F41" s="2404"/>
      <c r="G41" s="2404"/>
      <c r="H41" s="2404"/>
      <c r="I41" s="2404"/>
      <c r="J41" s="2404"/>
      <c r="K41" s="2404"/>
      <c r="L41" s="2618"/>
      <c r="M41" s="2598"/>
    </row>
    <row r="42" spans="2:13" ht="15" thickBot="1">
      <c r="B42" s="168"/>
      <c r="C42" s="76" t="s">
        <v>698</v>
      </c>
      <c r="D42" s="34" t="s">
        <v>1926</v>
      </c>
      <c r="E42" s="494">
        <v>1</v>
      </c>
      <c r="F42" s="6"/>
      <c r="G42" s="6"/>
      <c r="H42" s="34" t="s">
        <v>905</v>
      </c>
      <c r="I42" s="5"/>
      <c r="J42" s="127" t="s">
        <v>1927</v>
      </c>
      <c r="K42" s="5"/>
      <c r="M42" s="10"/>
    </row>
    <row r="43" spans="2:13" ht="15" thickBot="1">
      <c r="B43" s="168"/>
      <c r="C43" s="2" t="s">
        <v>1014</v>
      </c>
      <c r="D43" s="32" t="s">
        <v>1928</v>
      </c>
      <c r="E43" s="513">
        <v>1</v>
      </c>
      <c r="F43" s="25"/>
      <c r="G43" s="25"/>
      <c r="H43" s="121">
        <f>MAX(E42:G42)</f>
        <v>1</v>
      </c>
      <c r="I43" s="5"/>
      <c r="K43" s="5"/>
      <c r="M43" s="10"/>
    </row>
    <row r="44" spans="2:13" ht="15" thickBot="1">
      <c r="B44" s="168"/>
      <c r="C44" s="2" t="s">
        <v>1016</v>
      </c>
      <c r="D44" s="32" t="s">
        <v>1929</v>
      </c>
      <c r="E44" s="494">
        <v>2</v>
      </c>
      <c r="F44" s="6"/>
      <c r="G44" s="6"/>
      <c r="H44" s="122">
        <f>SUM(E44:G44)</f>
        <v>2</v>
      </c>
      <c r="I44" s="5"/>
      <c r="J44" s="5"/>
      <c r="K44" s="5"/>
      <c r="M44" s="10"/>
    </row>
    <row r="45" spans="2:13" ht="24.6" thickBot="1">
      <c r="B45" s="168"/>
      <c r="C45" s="2" t="s">
        <v>1018</v>
      </c>
      <c r="D45" s="32" t="s">
        <v>1930</v>
      </c>
      <c r="E45" s="494">
        <v>2</v>
      </c>
      <c r="F45" s="6"/>
      <c r="G45" s="6"/>
      <c r="H45" s="122">
        <f>SUM(E45:G45)</f>
        <v>2</v>
      </c>
      <c r="I45" s="5"/>
      <c r="J45" s="5"/>
      <c r="K45" s="5"/>
      <c r="M45" s="10"/>
    </row>
    <row r="46" spans="2:13" ht="15" thickBot="1">
      <c r="B46" s="168"/>
      <c r="C46" s="2549" t="s">
        <v>1931</v>
      </c>
      <c r="D46" s="36" t="s">
        <v>1932</v>
      </c>
      <c r="E46" s="119">
        <f>IFERROR(E45/E44,"N.A.")</f>
        <v>1</v>
      </c>
      <c r="F46" s="119" t="str">
        <f>IFERROR(F45/F44,"N.A.")</f>
        <v>N.A.</v>
      </c>
      <c r="G46" s="119" t="str">
        <f>IFERROR(G45/G44,"N.A.")</f>
        <v>N.A.</v>
      </c>
      <c r="H46" s="123"/>
      <c r="I46" s="5"/>
      <c r="J46" s="5"/>
      <c r="K46" s="5"/>
      <c r="M46" s="10"/>
    </row>
    <row r="47" spans="2:13" ht="15" thickBot="1">
      <c r="B47" s="168"/>
      <c r="C47" s="2550"/>
      <c r="D47" s="32" t="s">
        <v>1933</v>
      </c>
      <c r="E47" s="120">
        <f>+IF(E46="N.A.","N.A.",IF(E46&gt;=75%,1,0))</f>
        <v>1</v>
      </c>
      <c r="F47" s="120" t="str">
        <f>+IF(F46="N.A.","N.A.",IF(F46&gt;=75%,1,0))</f>
        <v>N.A.</v>
      </c>
      <c r="G47" s="120" t="str">
        <f>+IF(G46="N.A.","N.A.",IF(G46&gt;=75%,1,0))</f>
        <v>N.A.</v>
      </c>
      <c r="H47" s="122">
        <f>SUM(E47:G47)</f>
        <v>1</v>
      </c>
      <c r="I47" s="5"/>
      <c r="J47" s="5"/>
      <c r="K47" s="5"/>
      <c r="M47" s="10"/>
    </row>
    <row r="48" spans="2:13" ht="15" thickBot="1">
      <c r="B48" s="168"/>
      <c r="C48" s="2" t="s">
        <v>1934</v>
      </c>
      <c r="D48" s="2424" t="s">
        <v>1935</v>
      </c>
      <c r="E48" s="2425"/>
      <c r="F48" s="2425"/>
      <c r="G48" s="2426"/>
      <c r="H48" s="159">
        <f>IFERROR(H47/H43,"N.A.")</f>
        <v>1</v>
      </c>
      <c r="I48" s="5"/>
      <c r="J48" s="5"/>
      <c r="K48" s="5"/>
      <c r="M48" s="10"/>
    </row>
    <row r="49" spans="2:13" ht="15" thickBot="1">
      <c r="B49" s="168"/>
      <c r="C49" s="70"/>
      <c r="D49" s="2674" t="s">
        <v>1936</v>
      </c>
      <c r="E49" s="2675"/>
      <c r="F49" s="2675"/>
      <c r="G49" s="2675"/>
      <c r="H49" s="2675"/>
      <c r="I49" s="2675"/>
      <c r="J49" s="2675"/>
      <c r="K49" s="2675"/>
      <c r="L49" s="2766"/>
      <c r="M49" s="2706"/>
    </row>
    <row r="50" spans="2:13" ht="24.6" thickBot="1">
      <c r="B50" s="168"/>
      <c r="C50" s="72"/>
      <c r="D50" s="34" t="s">
        <v>1911</v>
      </c>
      <c r="E50" s="494">
        <v>0</v>
      </c>
      <c r="F50" s="5"/>
      <c r="G50" s="5"/>
      <c r="H50" s="5"/>
      <c r="I50" s="5"/>
      <c r="J50" s="5"/>
      <c r="K50" s="5"/>
      <c r="M50" s="10"/>
    </row>
    <row r="51" spans="2:13" ht="24.6" thickBot="1">
      <c r="B51" s="168"/>
      <c r="C51" s="72"/>
      <c r="D51" s="32" t="s">
        <v>1912</v>
      </c>
      <c r="E51" s="494">
        <v>0</v>
      </c>
      <c r="F51" s="5"/>
      <c r="G51" s="5"/>
      <c r="H51" s="5"/>
      <c r="I51" s="5"/>
      <c r="J51" s="5"/>
      <c r="K51" s="5"/>
      <c r="M51" s="10"/>
    </row>
    <row r="52" spans="2:13" ht="24.6" thickBot="1">
      <c r="B52" s="168"/>
      <c r="C52" s="72"/>
      <c r="D52" s="32" t="s">
        <v>1913</v>
      </c>
      <c r="E52" s="494">
        <v>0</v>
      </c>
      <c r="F52" s="5"/>
      <c r="G52" s="5"/>
      <c r="H52" s="5"/>
      <c r="I52" s="5"/>
      <c r="J52" s="5"/>
      <c r="K52" s="5"/>
      <c r="M52" s="10"/>
    </row>
    <row r="53" spans="2:13" ht="15" thickBot="1">
      <c r="B53" s="168"/>
      <c r="C53" s="70"/>
      <c r="D53" s="2434" t="s">
        <v>1914</v>
      </c>
      <c r="E53" s="2435"/>
      <c r="F53" s="2435"/>
      <c r="G53" s="2435"/>
      <c r="H53" s="2435"/>
      <c r="I53" s="2435"/>
      <c r="J53" s="2435"/>
      <c r="K53" s="2435"/>
      <c r="L53" s="2767"/>
      <c r="M53" s="2600"/>
    </row>
    <row r="54" spans="2:13" ht="15" thickBot="1">
      <c r="B54" s="168"/>
      <c r="C54" s="76" t="s">
        <v>698</v>
      </c>
      <c r="D54" s="34" t="s">
        <v>1915</v>
      </c>
      <c r="E54" s="199"/>
      <c r="F54" s="199"/>
      <c r="G54" s="199"/>
      <c r="H54" s="199"/>
      <c r="I54" s="199"/>
      <c r="J54" s="199"/>
      <c r="K54" s="199"/>
      <c r="L54" s="265"/>
      <c r="M54" s="94"/>
    </row>
    <row r="55" spans="2:13" ht="15" thickBot="1">
      <c r="B55" s="168"/>
      <c r="C55" s="2" t="s">
        <v>906</v>
      </c>
      <c r="D55" s="32" t="s">
        <v>1916</v>
      </c>
      <c r="E55" s="25"/>
      <c r="F55" s="25"/>
      <c r="G55" s="25"/>
      <c r="H55" s="25"/>
      <c r="I55" s="25"/>
      <c r="J55" s="25"/>
      <c r="K55" s="25"/>
      <c r="L55" s="266"/>
      <c r="M55" s="8"/>
    </row>
    <row r="56" spans="2:13" ht="15" thickBot="1">
      <c r="B56" s="168"/>
      <c r="C56" s="2" t="s">
        <v>908</v>
      </c>
      <c r="D56" s="32" t="s">
        <v>1919</v>
      </c>
      <c r="E56" s="25"/>
      <c r="F56" s="25"/>
      <c r="G56" s="25"/>
      <c r="H56" s="25"/>
      <c r="I56" s="25"/>
      <c r="J56" s="25"/>
      <c r="K56" s="25"/>
      <c r="L56" s="266"/>
      <c r="M56" s="8"/>
    </row>
    <row r="57" spans="2:13" ht="15" thickBot="1">
      <c r="B57" s="168"/>
      <c r="C57" s="2" t="s">
        <v>910</v>
      </c>
      <c r="D57" s="32" t="s">
        <v>1920</v>
      </c>
      <c r="E57" s="267"/>
      <c r="F57" s="267"/>
      <c r="G57" s="267"/>
      <c r="H57" s="267"/>
      <c r="I57" s="267"/>
      <c r="J57" s="267"/>
      <c r="K57" s="267"/>
      <c r="L57" s="267"/>
      <c r="M57" s="8"/>
    </row>
    <row r="58" spans="2:13" ht="15" thickBot="1">
      <c r="B58" s="168"/>
      <c r="C58" s="2" t="s">
        <v>1008</v>
      </c>
      <c r="D58" s="32" t="s">
        <v>1921</v>
      </c>
      <c r="E58" s="267"/>
      <c r="F58" s="267"/>
      <c r="G58" s="267"/>
      <c r="H58" s="267"/>
      <c r="I58" s="267"/>
      <c r="J58" s="267"/>
      <c r="K58" s="267"/>
      <c r="L58" s="267"/>
      <c r="M58" s="8"/>
    </row>
    <row r="59" spans="2:13" ht="24.6" thickBot="1">
      <c r="B59" s="168"/>
      <c r="C59" s="2549" t="s">
        <v>1010</v>
      </c>
      <c r="D59" s="36" t="s">
        <v>1922</v>
      </c>
      <c r="E59" s="119" t="str">
        <f t="shared" ref="E59:L59" si="2">IFERROR(E58/E57,"N.A.")</f>
        <v>N.A.</v>
      </c>
      <c r="F59" s="119" t="str">
        <f t="shared" si="2"/>
        <v>N.A.</v>
      </c>
      <c r="G59" s="119" t="str">
        <f t="shared" si="2"/>
        <v>N.A.</v>
      </c>
      <c r="H59" s="119" t="str">
        <f t="shared" si="2"/>
        <v>N.A.</v>
      </c>
      <c r="I59" s="119" t="str">
        <f t="shared" si="2"/>
        <v>N.A.</v>
      </c>
      <c r="J59" s="119" t="str">
        <f t="shared" si="2"/>
        <v>N.A.</v>
      </c>
      <c r="K59" s="119" t="str">
        <f t="shared" si="2"/>
        <v>N.A.</v>
      </c>
      <c r="L59" s="119" t="str">
        <f t="shared" si="2"/>
        <v>N.A.</v>
      </c>
      <c r="M59" s="8"/>
    </row>
    <row r="60" spans="2:13" ht="15" thickBot="1">
      <c r="B60" s="168"/>
      <c r="C60" s="2550"/>
      <c r="D60" s="32" t="s">
        <v>1937</v>
      </c>
      <c r="E60" s="120" t="str">
        <f>+IF(E59="N.A.","N.A.",IF(E59&gt;=75%,1,0))</f>
        <v>N.A.</v>
      </c>
      <c r="F60" s="120" t="str">
        <f t="shared" ref="F60:L60" si="3">+IF(F59="N.A.","N.A.",IF(F59&gt;=75%,1,0))</f>
        <v>N.A.</v>
      </c>
      <c r="G60" s="120" t="str">
        <f t="shared" si="3"/>
        <v>N.A.</v>
      </c>
      <c r="H60" s="120" t="str">
        <f t="shared" si="3"/>
        <v>N.A.</v>
      </c>
      <c r="I60" s="120" t="str">
        <f t="shared" si="3"/>
        <v>N.A.</v>
      </c>
      <c r="J60" s="120" t="str">
        <f t="shared" si="3"/>
        <v>N.A.</v>
      </c>
      <c r="K60" s="120" t="str">
        <f t="shared" si="3"/>
        <v>N.A.</v>
      </c>
      <c r="L60" s="120" t="str">
        <f t="shared" si="3"/>
        <v>N.A.</v>
      </c>
      <c r="M60" s="8"/>
    </row>
    <row r="61" spans="2:13" ht="15" thickBot="1">
      <c r="B61" s="168"/>
      <c r="C61" s="2" t="s">
        <v>1012</v>
      </c>
      <c r="D61" s="32" t="s">
        <v>1924</v>
      </c>
      <c r="E61" s="2770" t="s">
        <v>1938</v>
      </c>
      <c r="F61" s="2771"/>
      <c r="G61" s="2771"/>
      <c r="H61" s="2771"/>
      <c r="I61" s="2771"/>
      <c r="J61" s="2771"/>
      <c r="K61" s="2771"/>
      <c r="L61" s="2772"/>
      <c r="M61" s="9"/>
    </row>
    <row r="62" spans="2:13">
      <c r="B62" s="168"/>
      <c r="C62" s="70"/>
      <c r="D62" s="2412"/>
      <c r="E62" s="2413"/>
      <c r="F62" s="2413"/>
      <c r="G62" s="2413"/>
      <c r="H62" s="2413"/>
      <c r="I62" s="2413"/>
      <c r="J62" s="2413"/>
      <c r="K62" s="2413"/>
      <c r="L62" s="2634"/>
      <c r="M62" s="2615"/>
    </row>
    <row r="63" spans="2:13" ht="15" thickBot="1">
      <c r="B63" s="168"/>
      <c r="C63" s="70"/>
      <c r="D63" s="2773" t="s">
        <v>1925</v>
      </c>
      <c r="E63" s="2774"/>
      <c r="F63" s="2774"/>
      <c r="G63" s="2774"/>
      <c r="H63" s="2774"/>
      <c r="I63" s="2774"/>
      <c r="J63" s="2774"/>
      <c r="K63" s="2774"/>
      <c r="L63" s="2775"/>
      <c r="M63" s="2776"/>
    </row>
    <row r="64" spans="2:13" ht="15" thickBot="1">
      <c r="B64" s="168"/>
      <c r="C64" s="76" t="s">
        <v>698</v>
      </c>
      <c r="D64" s="34" t="s">
        <v>1926</v>
      </c>
      <c r="E64" s="430">
        <v>1</v>
      </c>
      <c r="F64" s="430"/>
      <c r="G64" s="430"/>
      <c r="H64" s="430" t="s">
        <v>905</v>
      </c>
      <c r="I64" s="5"/>
      <c r="J64" s="5"/>
      <c r="K64" s="5"/>
      <c r="M64" s="10"/>
    </row>
    <row r="65" spans="2:13" ht="15" thickBot="1">
      <c r="B65" s="168"/>
      <c r="C65" s="2" t="s">
        <v>1014</v>
      </c>
      <c r="D65" s="32" t="s">
        <v>1928</v>
      </c>
      <c r="E65" s="527" t="s">
        <v>1939</v>
      </c>
      <c r="F65" s="527"/>
      <c r="G65" s="527"/>
      <c r="H65" s="526">
        <f>MAX(E64:G64)</f>
        <v>1</v>
      </c>
      <c r="I65" s="5"/>
      <c r="J65" s="5"/>
      <c r="K65" s="5"/>
      <c r="M65" s="10"/>
    </row>
    <row r="66" spans="2:13" ht="15" thickBot="1">
      <c r="B66" s="168"/>
      <c r="C66" s="2" t="s">
        <v>1016</v>
      </c>
      <c r="D66" s="32" t="s">
        <v>1929</v>
      </c>
      <c r="E66" s="494">
        <v>2</v>
      </c>
      <c r="F66" s="6"/>
      <c r="G66" s="6"/>
      <c r="H66" s="122">
        <f>SUM(E66:G66)</f>
        <v>2</v>
      </c>
      <c r="I66" s="5"/>
      <c r="J66" s="5"/>
      <c r="K66" s="5"/>
      <c r="M66" s="10"/>
    </row>
    <row r="67" spans="2:13" ht="24.6" thickBot="1">
      <c r="B67" s="168"/>
      <c r="C67" s="2" t="s">
        <v>1018</v>
      </c>
      <c r="D67" s="32" t="s">
        <v>1940</v>
      </c>
      <c r="E67" s="494">
        <v>2</v>
      </c>
      <c r="F67" s="6"/>
      <c r="G67" s="6"/>
      <c r="H67" s="122">
        <f>SUM(E67:G67)</f>
        <v>2</v>
      </c>
      <c r="I67" s="5"/>
      <c r="J67" s="5"/>
      <c r="K67" s="5"/>
      <c r="M67" s="10"/>
    </row>
    <row r="68" spans="2:13" ht="15" thickBot="1">
      <c r="B68" s="168"/>
      <c r="C68" s="2549" t="s">
        <v>1931</v>
      </c>
      <c r="D68" s="36" t="s">
        <v>1932</v>
      </c>
      <c r="E68" s="119">
        <f>+E67/E66</f>
        <v>1</v>
      </c>
      <c r="F68" s="119" t="e">
        <f>+F67/F66</f>
        <v>#DIV/0!</v>
      </c>
      <c r="G68" s="119" t="e">
        <f>+G67/G66</f>
        <v>#DIV/0!</v>
      </c>
      <c r="H68" s="123">
        <v>1</v>
      </c>
      <c r="I68" s="5"/>
      <c r="J68" s="5"/>
      <c r="K68" s="5"/>
      <c r="M68" s="10"/>
    </row>
    <row r="69" spans="2:13" ht="15" thickBot="1">
      <c r="B69" s="168"/>
      <c r="C69" s="2550"/>
      <c r="D69" s="32" t="s">
        <v>1933</v>
      </c>
      <c r="E69" s="120">
        <f>+IF(E68&gt;=75%,1,0)</f>
        <v>1</v>
      </c>
      <c r="F69" s="120" t="e">
        <f>+IF(F68&gt;=75%,1,0)</f>
        <v>#DIV/0!</v>
      </c>
      <c r="G69" s="120" t="e">
        <f>+IF(G68&gt;=75%,1,0)</f>
        <v>#DIV/0!</v>
      </c>
      <c r="H69" s="122">
        <v>1</v>
      </c>
      <c r="I69" s="5"/>
      <c r="J69" s="5"/>
      <c r="K69" s="5"/>
      <c r="M69" s="10"/>
    </row>
    <row r="70" spans="2:13" ht="15" thickBot="1">
      <c r="B70" s="168"/>
      <c r="C70" s="2" t="s">
        <v>1934</v>
      </c>
      <c r="D70" s="2424" t="s">
        <v>1935</v>
      </c>
      <c r="E70" s="2425"/>
      <c r="F70" s="2425"/>
      <c r="G70" s="2426"/>
      <c r="H70" s="124">
        <f>IFERROR(H69/H65,"N.A.")</f>
        <v>1</v>
      </c>
      <c r="I70" s="5"/>
      <c r="J70" s="5"/>
      <c r="K70" s="5"/>
      <c r="M70" s="10"/>
    </row>
    <row r="71" spans="2:13">
      <c r="B71" s="168"/>
      <c r="C71" s="70"/>
      <c r="D71" s="2403"/>
      <c r="E71" s="2404"/>
      <c r="F71" s="2404"/>
      <c r="G71" s="2404"/>
      <c r="H71" s="2404"/>
      <c r="I71" s="2404"/>
      <c r="J71" s="2404"/>
      <c r="K71" s="2404"/>
      <c r="L71" s="2618"/>
      <c r="M71" s="2598"/>
    </row>
    <row r="72" spans="2:13" ht="15" thickBot="1">
      <c r="B72" s="168"/>
      <c r="C72" s="70"/>
      <c r="D72" s="2415" t="s">
        <v>1941</v>
      </c>
      <c r="E72" s="2416"/>
      <c r="F72" s="2416"/>
      <c r="G72" s="2416"/>
      <c r="H72" s="2416"/>
      <c r="I72" s="2416"/>
      <c r="J72" s="2416"/>
      <c r="K72" s="2416"/>
      <c r="L72" s="2617"/>
      <c r="M72" s="2599"/>
    </row>
    <row r="73" spans="2:13" ht="15" thickBot="1">
      <c r="B73" s="168"/>
      <c r="C73" s="76" t="s">
        <v>1942</v>
      </c>
      <c r="D73" s="30" t="s">
        <v>1943</v>
      </c>
      <c r="E73" s="125">
        <f>+H48</f>
        <v>1</v>
      </c>
      <c r="F73" s="5"/>
      <c r="G73" s="5"/>
      <c r="H73" s="5"/>
      <c r="I73" s="5"/>
      <c r="J73" s="5"/>
      <c r="K73" s="5"/>
      <c r="M73" s="10"/>
    </row>
    <row r="74" spans="2:13" ht="15" thickBot="1">
      <c r="B74" s="168"/>
      <c r="C74" s="2" t="s">
        <v>1944</v>
      </c>
      <c r="D74" s="31" t="s">
        <v>1945</v>
      </c>
      <c r="E74" s="126">
        <f>+H70</f>
        <v>1</v>
      </c>
      <c r="F74" s="5"/>
      <c r="G74" s="5"/>
      <c r="H74" s="5"/>
      <c r="I74" s="5"/>
      <c r="J74" s="5"/>
      <c r="K74" s="5"/>
      <c r="M74" s="10"/>
    </row>
    <row r="75" spans="2:13" ht="36.6" thickBot="1">
      <c r="B75" s="168"/>
      <c r="C75" s="2" t="s">
        <v>698</v>
      </c>
      <c r="D75" s="32" t="s">
        <v>1946</v>
      </c>
      <c r="E75" s="126">
        <f>AVERAGE(E73:E74)</f>
        <v>1</v>
      </c>
      <c r="F75" s="5"/>
      <c r="G75" s="5"/>
      <c r="H75" s="5"/>
      <c r="I75" s="5"/>
      <c r="J75" s="5"/>
      <c r="K75" s="5"/>
      <c r="M75" s="10"/>
    </row>
    <row r="76" spans="2:13">
      <c r="B76" s="168"/>
      <c r="C76" s="70"/>
      <c r="D76" s="2403"/>
      <c r="E76" s="2404"/>
      <c r="F76" s="2404"/>
      <c r="G76" s="2404"/>
      <c r="H76" s="2404"/>
      <c r="I76" s="2404"/>
      <c r="J76" s="2404"/>
      <c r="K76" s="2404"/>
      <c r="L76" s="2618"/>
      <c r="M76" s="2598"/>
    </row>
    <row r="77" spans="2:13" ht="15" thickBot="1">
      <c r="B77" s="168"/>
      <c r="C77" s="70"/>
      <c r="D77" s="2415" t="s">
        <v>1947</v>
      </c>
      <c r="E77" s="2416"/>
      <c r="F77" s="2416"/>
      <c r="G77" s="2416"/>
      <c r="H77" s="2416"/>
      <c r="I77" s="2416"/>
      <c r="J77" s="2416"/>
      <c r="K77" s="2416"/>
      <c r="L77" s="2617"/>
      <c r="M77" s="2599"/>
    </row>
    <row r="78" spans="2:13" ht="15" thickBot="1">
      <c r="B78" s="168"/>
      <c r="C78" s="72"/>
      <c r="D78" s="20"/>
      <c r="E78" s="30" t="s">
        <v>597</v>
      </c>
      <c r="F78" s="30" t="s">
        <v>1226</v>
      </c>
      <c r="H78" s="5"/>
      <c r="I78" s="5"/>
      <c r="J78" s="5"/>
      <c r="K78" s="5"/>
      <c r="M78" s="10"/>
    </row>
    <row r="79" spans="2:13" ht="24.6" thickBot="1">
      <c r="B79" s="168"/>
      <c r="C79" s="72"/>
      <c r="D79" s="32" t="s">
        <v>1948</v>
      </c>
      <c r="E79" s="528" t="str">
        <f>+E25</f>
        <v xml:space="preserve"> </v>
      </c>
      <c r="F79" s="448">
        <v>0</v>
      </c>
      <c r="G79" s="5"/>
      <c r="H79" s="5"/>
      <c r="I79" s="5"/>
      <c r="J79" s="5"/>
      <c r="K79" s="5"/>
      <c r="M79" s="10"/>
    </row>
    <row r="80" spans="2:13" ht="24.6" thickBot="1">
      <c r="B80" s="168"/>
      <c r="C80" s="72"/>
      <c r="D80" s="32" t="s">
        <v>1949</v>
      </c>
      <c r="E80" s="528">
        <f>+E75</f>
        <v>1</v>
      </c>
      <c r="F80" s="448">
        <v>1</v>
      </c>
      <c r="G80" s="5"/>
      <c r="H80" s="5"/>
      <c r="I80" s="5"/>
      <c r="J80" s="5"/>
      <c r="K80" s="5"/>
      <c r="M80" s="10"/>
    </row>
    <row r="81" spans="2:13" ht="24.6" thickBot="1">
      <c r="B81" s="37"/>
      <c r="C81" s="2"/>
      <c r="D81" s="32" t="s">
        <v>34</v>
      </c>
      <c r="E81" s="156" t="str">
        <f>Formulas!$D$29</f>
        <v/>
      </c>
      <c r="F81" s="814">
        <f>+IFERROR(Formulas!$E$29,0)</f>
        <v>0</v>
      </c>
      <c r="G81" s="18"/>
      <c r="H81" s="18"/>
      <c r="I81" s="18"/>
      <c r="J81" s="18"/>
      <c r="K81" s="18"/>
      <c r="L81" s="11"/>
      <c r="M81" s="7"/>
    </row>
    <row r="82" spans="2:13" ht="24" customHeight="1" thickBot="1">
      <c r="B82" s="37" t="s">
        <v>803</v>
      </c>
      <c r="C82" s="71"/>
      <c r="D82" s="2424" t="s">
        <v>1950</v>
      </c>
      <c r="E82" s="2425"/>
      <c r="F82" s="2425"/>
      <c r="G82" s="2425"/>
      <c r="H82" s="2425"/>
      <c r="I82" s="2425"/>
      <c r="J82" s="2425"/>
      <c r="K82" s="2425"/>
      <c r="L82" s="2616"/>
      <c r="M82" s="2597"/>
    </row>
    <row r="83" spans="2:13" ht="36.6" thickBot="1">
      <c r="B83" s="37" t="s">
        <v>805</v>
      </c>
      <c r="C83" s="71"/>
      <c r="D83" s="2424" t="s">
        <v>913</v>
      </c>
      <c r="E83" s="2425"/>
      <c r="F83" s="2425"/>
      <c r="G83" s="2425"/>
      <c r="H83" s="2425"/>
      <c r="I83" s="2425"/>
      <c r="J83" s="2425"/>
      <c r="K83" s="2425"/>
      <c r="L83" s="2616"/>
      <c r="M83" s="2597"/>
    </row>
    <row r="84" spans="2:13" ht="15" thickBot="1">
      <c r="B84" s="1"/>
      <c r="C84" s="63"/>
      <c r="D84" s="5"/>
      <c r="E84" s="5"/>
      <c r="F84" s="5"/>
      <c r="G84" s="5"/>
      <c r="H84" s="5"/>
      <c r="I84" s="5"/>
      <c r="J84" s="5"/>
      <c r="K84" s="5"/>
    </row>
    <row r="85" spans="2:13" ht="24" customHeight="1" thickBot="1">
      <c r="B85" s="2431" t="s">
        <v>807</v>
      </c>
      <c r="C85" s="2432"/>
      <c r="D85" s="2432"/>
      <c r="E85" s="2433"/>
      <c r="F85" s="5"/>
      <c r="G85" s="5"/>
      <c r="H85" s="5"/>
      <c r="I85" s="5"/>
      <c r="J85" s="5"/>
      <c r="K85" s="5"/>
    </row>
    <row r="86" spans="2:13" ht="15" thickBot="1">
      <c r="B86" s="2421">
        <v>1</v>
      </c>
      <c r="C86" s="72"/>
      <c r="D86" s="38" t="s">
        <v>808</v>
      </c>
      <c r="E86" s="183" t="s">
        <v>809</v>
      </c>
      <c r="F86" s="5"/>
      <c r="G86" s="5"/>
      <c r="H86" s="5"/>
      <c r="I86" s="5"/>
      <c r="J86" s="5"/>
      <c r="K86" s="5"/>
    </row>
    <row r="87" spans="2:13" ht="24.6" thickBot="1">
      <c r="B87" s="2422"/>
      <c r="C87" s="72"/>
      <c r="D87" s="32" t="s">
        <v>528</v>
      </c>
      <c r="E87" s="537" t="s">
        <v>1848</v>
      </c>
      <c r="F87" s="5"/>
      <c r="G87" s="5"/>
      <c r="H87" s="5"/>
      <c r="I87" s="5"/>
      <c r="J87" s="5"/>
      <c r="K87" s="5"/>
    </row>
    <row r="88" spans="2:13" ht="15" thickBot="1">
      <c r="B88" s="2422"/>
      <c r="C88" s="72"/>
      <c r="D88" s="32" t="s">
        <v>811</v>
      </c>
      <c r="E88" s="537" t="s">
        <v>985</v>
      </c>
      <c r="F88" s="5"/>
      <c r="G88" s="5"/>
      <c r="H88" s="5"/>
      <c r="I88" s="5"/>
      <c r="J88" s="5"/>
      <c r="K88" s="5"/>
    </row>
    <row r="89" spans="2:13" ht="15" thickBot="1">
      <c r="B89" s="2422"/>
      <c r="C89" s="72"/>
      <c r="D89" s="32" t="s">
        <v>531</v>
      </c>
      <c r="E89" s="183" t="s">
        <v>986</v>
      </c>
      <c r="F89" s="5"/>
      <c r="G89" s="5"/>
      <c r="H89" s="5"/>
      <c r="I89" s="5"/>
      <c r="J89" s="5"/>
      <c r="K89" s="5"/>
    </row>
    <row r="90" spans="2:13" ht="36" customHeight="1" thickBot="1">
      <c r="B90" s="2422"/>
      <c r="C90" s="72"/>
      <c r="D90" s="32" t="s">
        <v>534</v>
      </c>
      <c r="E90" s="696" t="s">
        <v>987</v>
      </c>
      <c r="F90" s="5"/>
      <c r="G90" s="5"/>
      <c r="H90" s="5"/>
      <c r="I90" s="5"/>
      <c r="J90" s="5"/>
      <c r="K90" s="5"/>
    </row>
    <row r="91" spans="2:13" ht="15" thickBot="1">
      <c r="B91" s="2422"/>
      <c r="C91" s="72"/>
      <c r="D91" s="32" t="s">
        <v>537</v>
      </c>
      <c r="E91" s="537" t="s">
        <v>1742</v>
      </c>
      <c r="F91" s="5"/>
      <c r="G91" s="5"/>
      <c r="H91" s="5"/>
      <c r="I91" s="5"/>
      <c r="J91" s="5"/>
      <c r="K91" s="5"/>
    </row>
    <row r="92" spans="2:13" ht="15" thickBot="1">
      <c r="B92" s="2423"/>
      <c r="C92" s="2"/>
      <c r="D92" s="32" t="s">
        <v>815</v>
      </c>
      <c r="E92" s="537" t="s">
        <v>816</v>
      </c>
      <c r="F92" s="5"/>
      <c r="G92" s="5"/>
      <c r="H92" s="5"/>
      <c r="I92" s="5"/>
      <c r="J92" s="5"/>
      <c r="K92" s="5"/>
    </row>
    <row r="93" spans="2:13" ht="15" thickBot="1">
      <c r="B93" s="1"/>
      <c r="C93" s="63"/>
      <c r="D93" s="5"/>
      <c r="E93" s="5"/>
      <c r="F93" s="5"/>
      <c r="G93" s="5"/>
      <c r="H93" s="5"/>
      <c r="I93" s="5"/>
      <c r="J93" s="5"/>
      <c r="K93" s="5"/>
    </row>
    <row r="94" spans="2:13" ht="15" thickBot="1">
      <c r="B94" s="2431" t="s">
        <v>817</v>
      </c>
      <c r="C94" s="2432"/>
      <c r="D94" s="2432"/>
      <c r="E94" s="2433"/>
      <c r="F94" s="5"/>
      <c r="G94" s="5"/>
      <c r="H94" s="5"/>
      <c r="I94" s="5"/>
      <c r="J94" s="5"/>
      <c r="K94" s="5"/>
    </row>
    <row r="95" spans="2:13" ht="15" thickBot="1">
      <c r="B95" s="2421">
        <v>1</v>
      </c>
      <c r="C95" s="72"/>
      <c r="D95" s="38" t="s">
        <v>808</v>
      </c>
      <c r="E95" s="170" t="s">
        <v>818</v>
      </c>
      <c r="F95" s="5"/>
      <c r="G95" s="5"/>
      <c r="H95" s="5"/>
      <c r="I95" s="5"/>
      <c r="J95" s="5"/>
      <c r="K95" s="5"/>
    </row>
    <row r="96" spans="2:13" ht="15" thickBot="1">
      <c r="B96" s="2422"/>
      <c r="C96" s="72"/>
      <c r="D96" s="32" t="s">
        <v>528</v>
      </c>
      <c r="E96" s="170" t="s">
        <v>916</v>
      </c>
      <c r="F96" s="5"/>
      <c r="G96" s="5"/>
      <c r="H96" s="5"/>
      <c r="I96" s="5"/>
      <c r="J96" s="5"/>
      <c r="K96" s="5"/>
    </row>
    <row r="97" spans="2:11" ht="15" thickBot="1">
      <c r="B97" s="2422"/>
      <c r="C97" s="72"/>
      <c r="D97" s="32" t="s">
        <v>811</v>
      </c>
      <c r="E97" s="136" t="s">
        <v>985</v>
      </c>
      <c r="F97" s="5"/>
      <c r="G97" s="5"/>
      <c r="H97" s="5"/>
      <c r="I97" s="5"/>
      <c r="J97" s="5"/>
      <c r="K97" s="5"/>
    </row>
    <row r="98" spans="2:11" ht="15" thickBot="1">
      <c r="B98" s="2422"/>
      <c r="C98" s="72"/>
      <c r="D98" s="32" t="s">
        <v>531</v>
      </c>
      <c r="E98" s="136" t="s">
        <v>2142</v>
      </c>
      <c r="F98" s="5"/>
      <c r="G98" s="5"/>
      <c r="H98" s="5"/>
      <c r="I98" s="5"/>
      <c r="J98" s="5"/>
      <c r="K98" s="5"/>
    </row>
    <row r="99" spans="2:11" ht="15" thickBot="1">
      <c r="B99" s="2422"/>
      <c r="C99" s="72"/>
      <c r="D99" s="32" t="s">
        <v>534</v>
      </c>
      <c r="E99" s="963" t="s">
        <v>1494</v>
      </c>
      <c r="F99" s="5"/>
      <c r="G99" s="5"/>
      <c r="H99" s="5"/>
      <c r="I99" s="5"/>
      <c r="J99" s="5"/>
      <c r="K99" s="5"/>
    </row>
    <row r="100" spans="2:11" ht="15" thickBot="1">
      <c r="B100" s="2422"/>
      <c r="C100" s="72"/>
      <c r="D100" s="32" t="s">
        <v>537</v>
      </c>
      <c r="E100" s="136"/>
      <c r="F100" s="5"/>
      <c r="G100" s="5"/>
      <c r="H100" s="5"/>
      <c r="I100" s="5"/>
      <c r="J100" s="5"/>
      <c r="K100" s="5"/>
    </row>
    <row r="101" spans="2:11" ht="15" thickBot="1">
      <c r="B101" s="2423"/>
      <c r="C101" s="2"/>
      <c r="D101" s="32" t="s">
        <v>815</v>
      </c>
      <c r="E101" s="136"/>
      <c r="F101" s="5"/>
      <c r="G101" s="5"/>
      <c r="H101" s="5"/>
      <c r="I101" s="5"/>
      <c r="J101" s="5"/>
      <c r="K101" s="5"/>
    </row>
    <row r="102" spans="2:11" ht="15" thickBot="1">
      <c r="B102" s="1"/>
      <c r="C102" s="63"/>
      <c r="D102" s="5"/>
      <c r="E102" s="5"/>
      <c r="F102" s="5"/>
      <c r="G102" s="5"/>
      <c r="H102" s="5"/>
      <c r="I102" s="5"/>
      <c r="J102" s="5"/>
      <c r="K102" s="5"/>
    </row>
    <row r="103" spans="2:11" ht="15" customHeight="1" thickBot="1">
      <c r="B103" s="99" t="s">
        <v>820</v>
      </c>
      <c r="C103" s="100"/>
      <c r="D103" s="100"/>
      <c r="E103" s="101"/>
      <c r="G103" s="5"/>
      <c r="H103" s="5"/>
      <c r="I103" s="5"/>
      <c r="J103" s="5"/>
      <c r="K103" s="5"/>
    </row>
    <row r="104" spans="2:11" ht="24.6" thickBot="1">
      <c r="B104" s="37" t="s">
        <v>821</v>
      </c>
      <c r="C104" s="32" t="s">
        <v>822</v>
      </c>
      <c r="D104" s="32" t="s">
        <v>823</v>
      </c>
      <c r="E104" s="32" t="s">
        <v>824</v>
      </c>
      <c r="F104" s="5"/>
      <c r="G104" s="5"/>
      <c r="H104" s="5"/>
      <c r="I104" s="5"/>
      <c r="J104" s="5"/>
    </row>
    <row r="105" spans="2:11" ht="60.6" thickBot="1">
      <c r="B105" s="39">
        <v>42401</v>
      </c>
      <c r="C105" s="32">
        <v>1</v>
      </c>
      <c r="D105" s="40" t="s">
        <v>1951</v>
      </c>
      <c r="E105" s="32"/>
      <c r="F105" s="5"/>
      <c r="G105" s="5"/>
      <c r="H105" s="5"/>
      <c r="I105" s="5"/>
      <c r="J105" s="5"/>
    </row>
    <row r="106" spans="2:11" ht="15" thickBot="1">
      <c r="B106" s="3"/>
      <c r="C106" s="73"/>
      <c r="D106" s="5"/>
      <c r="E106" s="5"/>
      <c r="F106" s="5"/>
      <c r="G106" s="5"/>
      <c r="H106" s="5"/>
      <c r="I106" s="5"/>
      <c r="J106" s="5"/>
      <c r="K106" s="5"/>
    </row>
    <row r="107" spans="2:11" ht="24.6" thickBot="1">
      <c r="B107" s="105" t="s">
        <v>702</v>
      </c>
      <c r="C107" s="74"/>
      <c r="D107" s="5"/>
      <c r="E107" s="5"/>
      <c r="F107" s="5"/>
      <c r="G107" s="5"/>
      <c r="H107" s="5"/>
      <c r="I107" s="5"/>
      <c r="J107" s="5"/>
      <c r="K107" s="5"/>
    </row>
    <row r="108" spans="2:11">
      <c r="B108" s="2760"/>
      <c r="C108" s="2761"/>
      <c r="D108" s="2761"/>
      <c r="E108" s="2761"/>
      <c r="F108" s="2761"/>
      <c r="G108" s="2761"/>
      <c r="H108" s="2761"/>
      <c r="I108" s="2762"/>
      <c r="J108" s="5"/>
      <c r="K108" s="5"/>
    </row>
    <row r="109" spans="2:11" ht="15" thickBot="1">
      <c r="B109" s="2763"/>
      <c r="C109" s="2764"/>
      <c r="D109" s="2764"/>
      <c r="E109" s="2764"/>
      <c r="F109" s="2764"/>
      <c r="G109" s="2764"/>
      <c r="H109" s="2764"/>
      <c r="I109" s="2765"/>
      <c r="J109" s="5"/>
      <c r="K109" s="5"/>
    </row>
    <row r="110" spans="2:11" ht="15" thickBot="1">
      <c r="B110" s="5"/>
      <c r="D110" s="5"/>
      <c r="E110" s="5"/>
      <c r="F110" s="5"/>
      <c r="G110" s="5"/>
      <c r="H110" s="5"/>
      <c r="I110" s="5"/>
      <c r="J110" s="5"/>
      <c r="K110" s="5"/>
    </row>
    <row r="111" spans="2:11" ht="24.6" thickBot="1">
      <c r="B111" s="41" t="s">
        <v>826</v>
      </c>
      <c r="C111" s="75"/>
      <c r="D111" s="5"/>
      <c r="E111" s="5"/>
      <c r="F111" s="5"/>
      <c r="G111" s="5"/>
      <c r="H111" s="5"/>
      <c r="I111" s="5"/>
      <c r="J111" s="5"/>
      <c r="K111" s="5"/>
    </row>
    <row r="112" spans="2:11" ht="15" thickBot="1">
      <c r="B112" s="1"/>
      <c r="C112" s="63"/>
      <c r="D112" s="5"/>
      <c r="E112" s="5"/>
      <c r="F112" s="5"/>
      <c r="G112" s="5"/>
      <c r="H112" s="5"/>
      <c r="I112" s="5"/>
      <c r="J112" s="5"/>
      <c r="K112" s="5"/>
    </row>
    <row r="113" spans="2:11" ht="60.6" thickBot="1">
      <c r="B113" s="42" t="s">
        <v>827</v>
      </c>
      <c r="C113" s="76"/>
      <c r="D113" s="34" t="s">
        <v>1952</v>
      </c>
      <c r="E113" s="5"/>
      <c r="F113" s="5"/>
      <c r="G113" s="5"/>
      <c r="H113" s="5"/>
      <c r="I113" s="5"/>
      <c r="J113" s="5"/>
      <c r="K113" s="5"/>
    </row>
    <row r="114" spans="2:11">
      <c r="B114" s="2421" t="s">
        <v>829</v>
      </c>
      <c r="C114" s="72"/>
      <c r="D114" s="43" t="s">
        <v>830</v>
      </c>
      <c r="E114" s="5"/>
      <c r="F114" s="5"/>
      <c r="G114" s="5"/>
      <c r="H114" s="5"/>
      <c r="I114" s="5"/>
      <c r="J114" s="5"/>
      <c r="K114" s="5"/>
    </row>
    <row r="115" spans="2:11" ht="96">
      <c r="B115" s="2422"/>
      <c r="C115" s="72"/>
      <c r="D115" s="36" t="s">
        <v>1953</v>
      </c>
      <c r="E115" s="5"/>
      <c r="F115" s="5"/>
      <c r="G115" s="5"/>
      <c r="H115" s="5"/>
      <c r="I115" s="5"/>
      <c r="J115" s="5"/>
      <c r="K115" s="5"/>
    </row>
    <row r="116" spans="2:11">
      <c r="B116" s="2422"/>
      <c r="C116" s="72"/>
      <c r="D116" s="43" t="s">
        <v>920</v>
      </c>
      <c r="E116" s="5"/>
      <c r="F116" s="5"/>
      <c r="G116" s="5"/>
      <c r="H116" s="5"/>
      <c r="I116" s="5"/>
      <c r="J116" s="5"/>
      <c r="K116" s="5"/>
    </row>
    <row r="117" spans="2:11">
      <c r="B117" s="2422"/>
      <c r="C117" s="72"/>
      <c r="D117" s="36" t="s">
        <v>1954</v>
      </c>
      <c r="E117" s="5"/>
      <c r="F117" s="5"/>
      <c r="G117" s="5"/>
      <c r="H117" s="5"/>
      <c r="I117" s="5"/>
      <c r="J117" s="5"/>
      <c r="K117" s="5"/>
    </row>
    <row r="118" spans="2:11" ht="48">
      <c r="B118" s="2422"/>
      <c r="C118" s="72"/>
      <c r="D118" s="36" t="s">
        <v>1955</v>
      </c>
      <c r="E118" s="5"/>
      <c r="F118" s="5"/>
      <c r="G118" s="5"/>
      <c r="H118" s="5"/>
      <c r="I118" s="5"/>
      <c r="J118" s="5"/>
      <c r="K118" s="5"/>
    </row>
    <row r="119" spans="2:11">
      <c r="B119" s="2422"/>
      <c r="C119" s="72"/>
      <c r="D119" s="45" t="s">
        <v>1956</v>
      </c>
      <c r="E119" s="5"/>
      <c r="F119" s="5"/>
      <c r="G119" s="5"/>
      <c r="H119" s="5"/>
      <c r="I119" s="5"/>
      <c r="J119" s="5"/>
      <c r="K119" s="5"/>
    </row>
    <row r="120" spans="2:11" ht="15" thickBot="1">
      <c r="B120" s="2423"/>
      <c r="C120" s="2"/>
      <c r="D120" s="46" t="s">
        <v>1957</v>
      </c>
      <c r="E120" s="5"/>
      <c r="F120" s="5"/>
      <c r="G120" s="5"/>
      <c r="H120" s="5"/>
      <c r="I120" s="5"/>
      <c r="J120" s="5"/>
      <c r="K120" s="5"/>
    </row>
    <row r="121" spans="2:11" ht="24.6" thickBot="1">
      <c r="B121" s="37" t="s">
        <v>842</v>
      </c>
      <c r="C121" s="2"/>
      <c r="D121" s="32"/>
      <c r="E121" s="5"/>
      <c r="F121" s="5"/>
      <c r="G121" s="5"/>
      <c r="H121" s="5"/>
      <c r="I121" s="5"/>
      <c r="J121" s="5"/>
      <c r="K121" s="5"/>
    </row>
    <row r="122" spans="2:11" ht="60">
      <c r="B122" s="2421" t="s">
        <v>843</v>
      </c>
      <c r="C122" s="72"/>
      <c r="D122" s="36" t="s">
        <v>1958</v>
      </c>
      <c r="E122" s="5"/>
      <c r="F122" s="5"/>
      <c r="G122" s="5"/>
      <c r="H122" s="5"/>
      <c r="I122" s="5"/>
      <c r="J122" s="5"/>
      <c r="K122" s="5"/>
    </row>
    <row r="123" spans="2:11" ht="192">
      <c r="B123" s="2422"/>
      <c r="C123" s="72"/>
      <c r="D123" s="36" t="s">
        <v>1959</v>
      </c>
      <c r="E123" s="5"/>
      <c r="F123" s="5"/>
      <c r="G123" s="5"/>
      <c r="H123" s="5"/>
      <c r="I123" s="5"/>
      <c r="J123" s="5"/>
      <c r="K123" s="5"/>
    </row>
    <row r="124" spans="2:11" ht="72">
      <c r="B124" s="2422"/>
      <c r="C124" s="72"/>
      <c r="D124" s="36" t="s">
        <v>1960</v>
      </c>
      <c r="E124" s="5"/>
      <c r="F124" s="5"/>
      <c r="G124" s="5"/>
      <c r="H124" s="5"/>
      <c r="I124" s="5"/>
      <c r="J124" s="5"/>
      <c r="K124" s="5"/>
    </row>
    <row r="125" spans="2:11" ht="180.6" thickBot="1">
      <c r="B125" s="2423"/>
      <c r="C125" s="2"/>
      <c r="D125" s="32" t="s">
        <v>1961</v>
      </c>
      <c r="E125" s="5"/>
      <c r="F125" s="5"/>
      <c r="G125" s="5"/>
      <c r="H125" s="5"/>
      <c r="I125" s="5"/>
      <c r="J125" s="5"/>
      <c r="K125" s="5"/>
    </row>
    <row r="126" spans="2:11">
      <c r="B126" s="2421" t="s">
        <v>860</v>
      </c>
      <c r="C126" s="72"/>
      <c r="D126" s="36"/>
      <c r="E126" s="5"/>
      <c r="F126" s="5"/>
      <c r="G126" s="5"/>
      <c r="H126" s="5"/>
      <c r="I126" s="5"/>
      <c r="J126" s="5"/>
      <c r="K126" s="5"/>
    </row>
    <row r="127" spans="2:11">
      <c r="B127" s="2422"/>
      <c r="C127" s="72"/>
      <c r="D127" s="13"/>
      <c r="E127" s="5"/>
      <c r="F127" s="5"/>
      <c r="G127" s="5"/>
      <c r="H127" s="5"/>
      <c r="I127" s="5"/>
      <c r="J127" s="5"/>
      <c r="K127" s="5"/>
    </row>
    <row r="128" spans="2:11">
      <c r="B128" s="2422"/>
      <c r="C128" s="72"/>
      <c r="D128" s="36" t="s">
        <v>861</v>
      </c>
      <c r="E128" s="5"/>
      <c r="F128" s="5"/>
      <c r="G128" s="5"/>
      <c r="H128" s="5"/>
      <c r="I128" s="5"/>
      <c r="J128" s="5"/>
      <c r="K128" s="5"/>
    </row>
    <row r="129" spans="2:11" ht="26.4">
      <c r="B129" s="2422"/>
      <c r="C129" s="72"/>
      <c r="D129" s="36" t="s">
        <v>1962</v>
      </c>
      <c r="E129" s="5"/>
      <c r="F129" s="5"/>
      <c r="G129" s="5"/>
      <c r="H129" s="5"/>
      <c r="I129" s="5"/>
      <c r="J129" s="5"/>
      <c r="K129" s="5"/>
    </row>
    <row r="130" spans="2:11" ht="38.4">
      <c r="B130" s="2422"/>
      <c r="C130" s="72"/>
      <c r="D130" s="36" t="s">
        <v>1963</v>
      </c>
      <c r="E130" s="5"/>
      <c r="F130" s="5"/>
      <c r="G130" s="5"/>
      <c r="H130" s="5"/>
      <c r="I130" s="5"/>
      <c r="J130" s="5"/>
      <c r="K130" s="5"/>
    </row>
    <row r="131" spans="2:11" ht="38.4">
      <c r="B131" s="2422"/>
      <c r="C131" s="72"/>
      <c r="D131" s="36" t="s">
        <v>1964</v>
      </c>
      <c r="E131" s="5"/>
      <c r="F131" s="5"/>
      <c r="G131" s="5"/>
      <c r="H131" s="5"/>
      <c r="I131" s="5"/>
      <c r="J131" s="5"/>
      <c r="K131" s="5"/>
    </row>
    <row r="132" spans="2:11" ht="38.4">
      <c r="B132" s="2422"/>
      <c r="C132" s="72"/>
      <c r="D132" s="36" t="s">
        <v>1965</v>
      </c>
      <c r="E132" s="5"/>
      <c r="F132" s="5"/>
      <c r="G132" s="5"/>
      <c r="H132" s="5"/>
      <c r="I132" s="5"/>
      <c r="J132" s="5"/>
      <c r="K132" s="5"/>
    </row>
    <row r="133" spans="2:11">
      <c r="B133" s="2422"/>
      <c r="C133" s="72"/>
      <c r="D133" s="36" t="s">
        <v>1966</v>
      </c>
      <c r="E133" s="5"/>
      <c r="F133" s="5"/>
      <c r="G133" s="5"/>
      <c r="H133" s="5"/>
      <c r="I133" s="5"/>
      <c r="J133" s="5"/>
      <c r="K133" s="5"/>
    </row>
    <row r="134" spans="2:11">
      <c r="B134" s="2422"/>
      <c r="C134" s="72"/>
      <c r="D134" s="36" t="s">
        <v>1967</v>
      </c>
      <c r="E134" s="5"/>
      <c r="F134" s="5"/>
      <c r="G134" s="5"/>
      <c r="H134" s="5"/>
      <c r="I134" s="5"/>
      <c r="J134" s="5"/>
      <c r="K134" s="5"/>
    </row>
    <row r="135" spans="2:11">
      <c r="B135" s="2422"/>
      <c r="C135" s="72"/>
      <c r="D135" s="36" t="s">
        <v>1968</v>
      </c>
      <c r="E135" s="5"/>
      <c r="F135" s="5"/>
      <c r="G135" s="5"/>
      <c r="H135" s="5"/>
      <c r="I135" s="5"/>
      <c r="J135" s="5"/>
      <c r="K135" s="5"/>
    </row>
    <row r="136" spans="2:11">
      <c r="B136" s="2422"/>
      <c r="C136" s="72"/>
      <c r="D136" s="36" t="s">
        <v>869</v>
      </c>
      <c r="E136" s="5"/>
      <c r="F136" s="5"/>
      <c r="G136" s="5"/>
      <c r="H136" s="5"/>
      <c r="I136" s="5"/>
      <c r="J136" s="5"/>
      <c r="K136" s="5"/>
    </row>
    <row r="137" spans="2:11" ht="48.6" thickBot="1">
      <c r="B137" s="2423"/>
      <c r="C137" s="2"/>
      <c r="D137" s="32" t="s">
        <v>1969</v>
      </c>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sheetData>
  <sheetProtection insertColumns="0" insertRows="0"/>
  <mergeCells count="49">
    <mergeCell ref="A1:P1"/>
    <mergeCell ref="A2:P2"/>
    <mergeCell ref="A3:P3"/>
    <mergeCell ref="A4:D4"/>
    <mergeCell ref="A5:P5"/>
    <mergeCell ref="B10:D10"/>
    <mergeCell ref="F10:S10"/>
    <mergeCell ref="F11:S11"/>
    <mergeCell ref="E12:R12"/>
    <mergeCell ref="E13:R13"/>
    <mergeCell ref="D76:M76"/>
    <mergeCell ref="D70:G70"/>
    <mergeCell ref="C68:C69"/>
    <mergeCell ref="D63:M63"/>
    <mergeCell ref="D71:M71"/>
    <mergeCell ref="D72:M72"/>
    <mergeCell ref="D77:M77"/>
    <mergeCell ref="B114:B120"/>
    <mergeCell ref="B122:B125"/>
    <mergeCell ref="B126:B137"/>
    <mergeCell ref="D82:M82"/>
    <mergeCell ref="E18:F18"/>
    <mergeCell ref="D62:M62"/>
    <mergeCell ref="D48:G48"/>
    <mergeCell ref="C59:C60"/>
    <mergeCell ref="D49:M49"/>
    <mergeCell ref="D53:M53"/>
    <mergeCell ref="I18:J18"/>
    <mergeCell ref="C37:C38"/>
    <mergeCell ref="G18:H18"/>
    <mergeCell ref="D21:M21"/>
    <mergeCell ref="C46:C47"/>
    <mergeCell ref="E61:L61"/>
    <mergeCell ref="B15:B19"/>
    <mergeCell ref="B108:I109"/>
    <mergeCell ref="D83:M83"/>
    <mergeCell ref="B85:E85"/>
    <mergeCell ref="B86:B92"/>
    <mergeCell ref="B94:E94"/>
    <mergeCell ref="B95:B101"/>
    <mergeCell ref="D41:M41"/>
    <mergeCell ref="D15:M15"/>
    <mergeCell ref="D16:M16"/>
    <mergeCell ref="D17:M17"/>
    <mergeCell ref="D26:M26"/>
    <mergeCell ref="D27:M27"/>
    <mergeCell ref="D31:M31"/>
    <mergeCell ref="D40:M40"/>
    <mergeCell ref="D18:D19"/>
  </mergeCells>
  <conditionalFormatting sqref="E81">
    <cfRule type="containsText" dxfId="20" priority="5" operator="containsText" text="ERROR">
      <formula>NOT(ISERROR(SEARCH("ERROR",E81)))</formula>
    </cfRule>
  </conditionalFormatting>
  <conditionalFormatting sqref="E12:R12">
    <cfRule type="expression" dxfId="19" priority="1">
      <formula>E11="SI SE REPORTA"</formula>
    </cfRule>
  </conditionalFormatting>
  <conditionalFormatting sqref="F10">
    <cfRule type="notContainsBlanks" dxfId="18" priority="4">
      <formula>LEN(TRIM(F10))&gt;0</formula>
    </cfRule>
  </conditionalFormatting>
  <conditionalFormatting sqref="F11:S11">
    <cfRule type="expression" dxfId="17" priority="2">
      <formula>E11="NO SE REPORTA"</formula>
    </cfRule>
    <cfRule type="expression" dxfId="16"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F35:L36 E57:L58 E28:E30 E20:J20 E50:E52 E34:E36 E66:G67 E44:G45" xr:uid="{94F7FDB9-842D-4FC3-AE69-80A0C14FEA90}">
      <formula1>0</formula1>
    </dataValidation>
    <dataValidation type="decimal" allowBlank="1" showInputMessage="1" showErrorMessage="1" errorTitle="ERROR" error="Escriba un valor entre 0% y 100%" sqref="F79:F80" xr:uid="{82B11DBF-8C99-49FD-9F4D-B05D7CDE5743}">
      <formula1>0</formula1>
      <formula2>1</formula2>
    </dataValidation>
    <dataValidation type="list" allowBlank="1" showInputMessage="1" showErrorMessage="1" sqref="E11" xr:uid="{CF56BF5A-F710-4F1C-903F-3E663BD0E452}">
      <formula1>REPORTE</formula1>
    </dataValidation>
    <dataValidation type="list" allowBlank="1" showInputMessage="1" showErrorMessage="1" sqref="E10" xr:uid="{57A67A4F-DC83-4232-9BB3-38F81951C686}">
      <formula1>SI</formula1>
    </dataValidation>
  </dataValidations>
  <hyperlinks>
    <hyperlink ref="D119" r:id="rId1" display="http://www.sisaire.gov.co/" xr:uid="{DE893641-8995-424C-B917-A1F0A73BD8FB}"/>
    <hyperlink ref="D120" r:id="rId2" display="http://www.sirh.ideam.gov.co/" xr:uid="{BB60EF03-02BF-4426-9E4E-AD3FB026DE1B}"/>
    <hyperlink ref="B9" location="'ANEXO 3'!A1" display="VOLVER AL INDICE" xr:uid="{6AD2AF76-F4EA-48B0-AD05-1A1C750EE346}"/>
    <hyperlink ref="E90" r:id="rId3" display="jrestrepo@crautonoma.gov.co" xr:uid="{FB2FA366-B66D-434F-9364-1E4A099E609C}"/>
    <hyperlink ref="E99" r:id="rId4" xr:uid="{5559B3A9-3AEC-496C-BBBB-C586D49F56E2}"/>
  </hyperlinks>
  <pageMargins left="0.25" right="0.25" top="0.75" bottom="0.75" header="0.3" footer="0.3"/>
  <pageSetup paperSize="178" orientation="landscape" horizontalDpi="1200" verticalDpi="1200" r:id="rId5"/>
  <drawing r:id="rId6"/>
  <legacy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6"/>
  <dimension ref="A1:U183"/>
  <sheetViews>
    <sheetView topLeftCell="C7" zoomScale="87" zoomScaleNormal="87" workbookViewId="0">
      <selection activeCell="G25" sqref="G25:H26"/>
    </sheetView>
  </sheetViews>
  <sheetFormatPr baseColWidth="10" defaultColWidth="11.44140625" defaultRowHeight="14.4"/>
  <cols>
    <col min="1" max="1" width="1.88671875" customWidth="1"/>
    <col min="2" max="2" width="12.6640625" customWidth="1"/>
    <col min="3" max="3" width="10.109375" style="65" customWidth="1"/>
    <col min="4" max="4" width="41.88671875" customWidth="1"/>
    <col min="5" max="5" width="33.44140625" customWidth="1"/>
    <col min="6" max="6" width="18.44140625" customWidth="1"/>
    <col min="7" max="7" width="18.109375" customWidth="1"/>
    <col min="11" max="11" width="22" customWidth="1"/>
  </cols>
  <sheetData>
    <row r="1" spans="1:21" s="304" customFormat="1" ht="100.5" customHeight="1" thickBot="1">
      <c r="A1" s="2384"/>
      <c r="B1" s="2385"/>
      <c r="C1" s="2385"/>
      <c r="D1" s="2385"/>
      <c r="E1" s="2385"/>
      <c r="F1" s="2385"/>
      <c r="G1" s="2385"/>
      <c r="H1" s="2385"/>
      <c r="I1" s="2385"/>
      <c r="J1" s="2385"/>
      <c r="K1" s="2385"/>
      <c r="L1" s="2385"/>
      <c r="M1" s="2385"/>
      <c r="N1" s="2385"/>
      <c r="O1" s="2385"/>
      <c r="P1" s="2386"/>
      <c r="Q1"/>
      <c r="R1"/>
    </row>
    <row r="2" spans="1:21" s="305" customFormat="1" ht="16.2" thickBot="1">
      <c r="A2" s="2381" t="s">
        <v>520</v>
      </c>
      <c r="B2" s="2382"/>
      <c r="C2" s="2382"/>
      <c r="D2" s="2382"/>
      <c r="E2" s="2382"/>
      <c r="F2" s="2382"/>
      <c r="G2" s="2382"/>
      <c r="H2" s="2382"/>
      <c r="I2" s="2382"/>
      <c r="J2" s="2382"/>
      <c r="K2" s="2382"/>
      <c r="L2" s="2382"/>
      <c r="M2" s="2382"/>
      <c r="N2" s="2382"/>
      <c r="O2" s="2382"/>
      <c r="P2" s="2383"/>
      <c r="Q2"/>
      <c r="R2"/>
    </row>
    <row r="3" spans="1:21" s="305" customFormat="1" ht="16.2" thickBot="1">
      <c r="A3" s="2392" t="s">
        <v>696</v>
      </c>
      <c r="B3" s="2393"/>
      <c r="C3" s="2393"/>
      <c r="D3" s="2393"/>
      <c r="E3" s="2393"/>
      <c r="F3" s="2393"/>
      <c r="G3" s="2393"/>
      <c r="H3" s="2393"/>
      <c r="I3" s="2393"/>
      <c r="J3" s="2393"/>
      <c r="K3" s="2393"/>
      <c r="L3" s="2393"/>
      <c r="M3" s="2393"/>
      <c r="N3" s="2393"/>
      <c r="O3" s="2393"/>
      <c r="P3" s="2394"/>
      <c r="Q3"/>
      <c r="R3"/>
    </row>
    <row r="4" spans="1:21" s="305" customFormat="1" ht="16.2" thickBot="1">
      <c r="A4" s="2387" t="s">
        <v>697</v>
      </c>
      <c r="B4" s="2388"/>
      <c r="C4" s="2388"/>
      <c r="D4" s="2388"/>
      <c r="E4" s="312" t="str">
        <f>+'Datos Generales'!C6</f>
        <v>2025-II</v>
      </c>
      <c r="F4" s="312"/>
      <c r="G4" s="312"/>
      <c r="H4" s="312"/>
      <c r="I4" s="312"/>
      <c r="J4" s="312"/>
      <c r="K4" s="312"/>
      <c r="L4" s="313"/>
      <c r="M4" s="313"/>
      <c r="N4" s="313"/>
      <c r="O4" s="313"/>
      <c r="P4" s="314"/>
      <c r="Q4"/>
      <c r="R4"/>
    </row>
    <row r="5" spans="1:21" ht="22.5" customHeight="1" thickBot="1">
      <c r="A5" s="2392" t="s">
        <v>35</v>
      </c>
      <c r="B5" s="2393"/>
      <c r="C5" s="2393"/>
      <c r="D5" s="2393"/>
      <c r="E5" s="2393"/>
      <c r="F5" s="2393"/>
      <c r="G5" s="2393"/>
      <c r="H5" s="2393"/>
      <c r="I5" s="2393"/>
      <c r="J5" s="2393"/>
      <c r="K5" s="2393"/>
      <c r="L5" s="2393"/>
      <c r="M5" s="2393"/>
      <c r="N5" s="2393"/>
      <c r="O5" s="2393"/>
      <c r="P5" s="2394"/>
    </row>
    <row r="6" spans="1:21">
      <c r="B6" s="1" t="s">
        <v>736</v>
      </c>
      <c r="C6" s="63"/>
      <c r="D6" s="5"/>
      <c r="E6" s="61"/>
      <c r="F6" s="5" t="s">
        <v>737</v>
      </c>
      <c r="G6" s="5"/>
      <c r="H6" s="5"/>
      <c r="I6" s="5"/>
      <c r="J6" s="5"/>
      <c r="K6" s="5"/>
    </row>
    <row r="7" spans="1:21" ht="15" thickBot="1">
      <c r="B7" s="62"/>
      <c r="C7" s="64"/>
      <c r="D7" s="5"/>
      <c r="E7" s="14"/>
      <c r="F7" s="5" t="s">
        <v>738</v>
      </c>
      <c r="G7" s="5"/>
      <c r="H7" s="5"/>
      <c r="I7" s="5"/>
      <c r="J7" s="5"/>
      <c r="K7" s="5"/>
    </row>
    <row r="8" spans="1:21" ht="15" thickBot="1">
      <c r="B8" s="141" t="s">
        <v>739</v>
      </c>
      <c r="C8" s="769">
        <v>2025</v>
      </c>
      <c r="D8" s="164">
        <f>IF(E10="NO APLICA","NO APLICA",IF(E11="NO SE REPORTA","SIN INFORMACION",+E30))</f>
        <v>1</v>
      </c>
      <c r="E8" s="161"/>
      <c r="F8" s="5" t="s">
        <v>740</v>
      </c>
      <c r="G8" s="5"/>
      <c r="H8" s="5"/>
      <c r="I8" s="5"/>
      <c r="J8" s="5"/>
      <c r="K8" s="5"/>
    </row>
    <row r="9" spans="1:21">
      <c r="B9" s="290" t="s">
        <v>741</v>
      </c>
      <c r="D9" s="5"/>
      <c r="E9" s="5"/>
      <c r="F9" s="5"/>
      <c r="G9" s="5"/>
      <c r="H9" s="5"/>
      <c r="I9" s="5"/>
      <c r="J9" s="5"/>
      <c r="K9" s="5"/>
    </row>
    <row r="10" spans="1:21">
      <c r="B10" s="2395" t="s">
        <v>742</v>
      </c>
      <c r="C10" s="2395"/>
      <c r="D10" s="2395"/>
      <c r="E10" s="293" t="s">
        <v>743</v>
      </c>
      <c r="F10" s="239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99"/>
      <c r="H10" s="2399"/>
      <c r="I10" s="2399"/>
      <c r="J10" s="2399"/>
      <c r="K10" s="2399"/>
      <c r="L10" s="2399"/>
      <c r="M10" s="2399"/>
      <c r="N10" s="2399"/>
      <c r="O10" s="2399"/>
      <c r="P10" s="2399"/>
      <c r="Q10" s="2399"/>
      <c r="R10" s="2399"/>
      <c r="S10" s="2399"/>
      <c r="T10" s="5"/>
      <c r="U10" s="5"/>
    </row>
    <row r="11" spans="1:21" ht="14.4" customHeight="1">
      <c r="B11" s="292"/>
      <c r="C11" s="66"/>
      <c r="D11" s="141" t="str">
        <f>IF(E10="SI APLICA","¿El indicador no se reporta por limitaciones de información disponible? ","")</f>
        <v xml:space="preserve">¿El indicador no se reporta por limitaciones de información disponible? </v>
      </c>
      <c r="E11" s="294" t="s">
        <v>744</v>
      </c>
      <c r="F11" s="2396"/>
      <c r="G11" s="2397"/>
      <c r="H11" s="2397"/>
      <c r="I11" s="2397"/>
      <c r="J11" s="2397"/>
      <c r="K11" s="2397"/>
      <c r="L11" s="2397"/>
      <c r="M11" s="2397"/>
      <c r="N11" s="2397"/>
      <c r="O11" s="2397"/>
      <c r="P11" s="2397"/>
      <c r="Q11" s="2397"/>
      <c r="R11" s="2397"/>
      <c r="S11" s="2397"/>
    </row>
    <row r="12" spans="1:21" ht="80.25" customHeight="1">
      <c r="B12" s="290"/>
      <c r="C12" s="66"/>
      <c r="D12" s="141" t="str">
        <f>IF(E11="SI SE REPORTA","¿Qué programas o proyectos del Plan de Acción están asociados al indicador? ","")</f>
        <v xml:space="preserve">¿Qué programas o proyectos del Plan de Acción están asociados al indicador? </v>
      </c>
      <c r="E12" s="2547" t="s">
        <v>1970</v>
      </c>
      <c r="F12" s="2547"/>
      <c r="G12" s="2547"/>
      <c r="H12" s="2547"/>
      <c r="I12" s="2547"/>
      <c r="J12" s="2547"/>
      <c r="K12" s="2547"/>
      <c r="L12" s="2547"/>
      <c r="M12" s="2547"/>
      <c r="N12" s="2547"/>
      <c r="O12" s="2547"/>
      <c r="P12" s="2547"/>
      <c r="Q12" s="2547"/>
      <c r="R12" s="2547"/>
    </row>
    <row r="13" spans="1:21" ht="44.4" customHeight="1">
      <c r="B13" s="290"/>
      <c r="C13" s="66"/>
      <c r="D13" s="141" t="s">
        <v>746</v>
      </c>
      <c r="E13" s="2585" t="s">
        <v>2129</v>
      </c>
      <c r="F13" s="2586"/>
      <c r="G13" s="2586"/>
      <c r="H13" s="2586"/>
      <c r="I13" s="2586"/>
      <c r="J13" s="2586"/>
      <c r="K13" s="2586"/>
      <c r="L13" s="2586"/>
      <c r="M13" s="2586"/>
      <c r="N13" s="2586"/>
      <c r="O13" s="2586"/>
      <c r="P13" s="2586"/>
      <c r="Q13" s="2586"/>
      <c r="R13" s="2587"/>
    </row>
    <row r="14" spans="1:21" ht="9.75" customHeight="1" thickBot="1">
      <c r="B14" s="290"/>
      <c r="D14" s="5"/>
      <c r="E14" s="5"/>
      <c r="F14" s="5"/>
      <c r="G14" s="5"/>
      <c r="H14" s="5"/>
      <c r="I14" s="5"/>
      <c r="J14" s="5"/>
      <c r="K14" s="5"/>
    </row>
    <row r="15" spans="1:21">
      <c r="B15" s="2421" t="s">
        <v>747</v>
      </c>
      <c r="C15" s="67"/>
      <c r="D15" s="2409" t="s">
        <v>1971</v>
      </c>
      <c r="E15" s="2410"/>
      <c r="F15" s="2410"/>
      <c r="G15" s="2410"/>
      <c r="H15" s="2411"/>
      <c r="I15" s="5"/>
      <c r="J15" s="5"/>
      <c r="K15" s="5"/>
      <c r="L15" s="5"/>
      <c r="M15" s="5"/>
      <c r="N15" s="5"/>
      <c r="O15" s="5"/>
    </row>
    <row r="16" spans="1:21">
      <c r="B16" s="2422"/>
      <c r="C16" s="70"/>
      <c r="D16" s="2415" t="s">
        <v>1972</v>
      </c>
      <c r="E16" s="2416"/>
      <c r="F16" s="2416"/>
      <c r="G16" s="2416"/>
      <c r="H16" s="2417"/>
      <c r="I16" s="5"/>
      <c r="J16" s="5"/>
      <c r="K16" s="5"/>
      <c r="L16" s="5"/>
      <c r="M16" s="5"/>
      <c r="N16" s="5"/>
      <c r="O16" s="5"/>
    </row>
    <row r="17" spans="1:15" ht="15" thickBot="1">
      <c r="B17" s="2422"/>
      <c r="C17" s="70"/>
      <c r="D17" s="2434" t="s">
        <v>748</v>
      </c>
      <c r="E17" s="2435"/>
      <c r="F17" s="2435"/>
      <c r="G17" s="2435"/>
      <c r="H17" s="2436"/>
      <c r="I17" s="5"/>
      <c r="J17" s="5"/>
      <c r="K17" s="5"/>
      <c r="L17" s="5"/>
      <c r="M17" s="5"/>
      <c r="N17" s="5"/>
      <c r="O17" s="5"/>
    </row>
    <row r="18" spans="1:15" ht="15" thickBot="1">
      <c r="B18" s="2422"/>
      <c r="C18" s="76" t="s">
        <v>698</v>
      </c>
      <c r="D18" s="30" t="s">
        <v>1973</v>
      </c>
      <c r="E18" s="757" t="s">
        <v>1974</v>
      </c>
      <c r="F18" s="56" t="s">
        <v>1975</v>
      </c>
      <c r="G18" s="757" t="s">
        <v>1976</v>
      </c>
      <c r="H18" s="91"/>
      <c r="I18" s="5"/>
      <c r="J18" s="5"/>
      <c r="K18" s="5"/>
      <c r="L18" s="5"/>
      <c r="M18" s="5"/>
      <c r="N18" s="5"/>
      <c r="O18" s="5"/>
    </row>
    <row r="19" spans="1:15" ht="15" thickBot="1">
      <c r="B19" s="2422"/>
      <c r="C19" s="2" t="s">
        <v>906</v>
      </c>
      <c r="D19" s="32" t="s">
        <v>1977</v>
      </c>
      <c r="E19" s="955">
        <v>43</v>
      </c>
      <c r="F19" s="960">
        <v>17520</v>
      </c>
      <c r="G19" s="960">
        <v>12</v>
      </c>
      <c r="H19" s="92"/>
      <c r="I19" s="5"/>
      <c r="J19" s="5"/>
      <c r="K19" s="5"/>
      <c r="L19" s="5"/>
      <c r="M19" s="5"/>
      <c r="N19" s="5"/>
      <c r="O19" s="5"/>
    </row>
    <row r="20" spans="1:15" ht="15" thickBot="1">
      <c r="B20" s="2422"/>
      <c r="C20" s="2" t="s">
        <v>908</v>
      </c>
      <c r="D20" s="32" t="s">
        <v>1978</v>
      </c>
      <c r="E20" s="955">
        <v>43</v>
      </c>
      <c r="F20" s="960">
        <v>17520</v>
      </c>
      <c r="G20" s="960">
        <v>12</v>
      </c>
      <c r="H20" s="92"/>
      <c r="I20" s="5"/>
      <c r="J20" s="5"/>
      <c r="K20" s="5"/>
      <c r="L20" s="5"/>
      <c r="M20" s="5"/>
      <c r="N20" s="5"/>
      <c r="O20" s="5"/>
    </row>
    <row r="21" spans="1:15" ht="24.6" thickBot="1">
      <c r="B21" s="2422"/>
      <c r="C21" s="2" t="s">
        <v>910</v>
      </c>
      <c r="D21" s="32" t="s">
        <v>1979</v>
      </c>
      <c r="E21" s="118">
        <f>IFERROR(E19/E20,"N.A")</f>
        <v>1</v>
      </c>
      <c r="F21" s="118">
        <f>IFERROR(F19/F20,"N.A")</f>
        <v>1</v>
      </c>
      <c r="G21" s="118">
        <f>IFERROR(G19/G20,"N.A")</f>
        <v>1</v>
      </c>
      <c r="H21" s="93"/>
      <c r="I21" s="5"/>
      <c r="J21" s="5"/>
      <c r="K21" s="5"/>
      <c r="L21" s="5"/>
      <c r="M21" s="5"/>
      <c r="N21" s="5"/>
      <c r="O21" s="5"/>
    </row>
    <row r="22" spans="1:15">
      <c r="B22" s="2422"/>
      <c r="C22" s="70"/>
      <c r="D22" s="2412"/>
      <c r="E22" s="2413"/>
      <c r="F22" s="2413"/>
      <c r="G22" s="2413"/>
      <c r="H22" s="2414"/>
      <c r="I22" s="5"/>
      <c r="J22" s="5"/>
      <c r="K22" s="5"/>
      <c r="L22" s="5"/>
      <c r="M22" s="5"/>
      <c r="N22" s="5"/>
      <c r="O22" s="5"/>
    </row>
    <row r="23" spans="1:15" ht="24" customHeight="1" thickBot="1">
      <c r="B23" s="2422"/>
      <c r="C23" s="70"/>
      <c r="D23" s="2415" t="s">
        <v>1980</v>
      </c>
      <c r="E23" s="2416"/>
      <c r="F23" s="2416"/>
      <c r="G23" s="2416"/>
      <c r="H23" s="2417"/>
      <c r="I23" s="5"/>
      <c r="J23" s="5"/>
      <c r="K23" s="5"/>
      <c r="L23" s="5"/>
      <c r="M23" s="5"/>
      <c r="N23" s="5"/>
      <c r="O23" s="5"/>
    </row>
    <row r="24" spans="1:15" ht="15" thickBot="1">
      <c r="B24" s="2422"/>
      <c r="C24" s="76" t="s">
        <v>698</v>
      </c>
      <c r="D24" s="30" t="s">
        <v>1973</v>
      </c>
      <c r="E24" s="757" t="s">
        <v>1981</v>
      </c>
      <c r="F24" s="757" t="s">
        <v>1982</v>
      </c>
      <c r="H24" s="17"/>
      <c r="I24" s="5"/>
      <c r="J24" s="5"/>
      <c r="K24" s="5"/>
      <c r="L24" s="5"/>
      <c r="M24" s="5" t="s">
        <v>618</v>
      </c>
      <c r="N24" s="5"/>
      <c r="O24" s="5"/>
    </row>
    <row r="25" spans="1:15" ht="15" thickBot="1">
      <c r="B25" s="2422"/>
      <c r="C25" s="2" t="s">
        <v>906</v>
      </c>
      <c r="D25" s="32" t="s">
        <v>1983</v>
      </c>
      <c r="E25" s="768">
        <v>315</v>
      </c>
      <c r="F25" s="959">
        <v>95</v>
      </c>
      <c r="G25" s="2781"/>
      <c r="H25" s="2782"/>
      <c r="I25" s="5"/>
      <c r="J25" s="5"/>
      <c r="K25" s="5"/>
      <c r="L25" s="5"/>
      <c r="M25" s="5"/>
      <c r="N25" s="5"/>
      <c r="O25" s="5"/>
    </row>
    <row r="26" spans="1:15" ht="24.6" thickBot="1">
      <c r="B26" s="2422"/>
      <c r="C26" s="2" t="s">
        <v>908</v>
      </c>
      <c r="D26" s="32" t="s">
        <v>1984</v>
      </c>
      <c r="E26" s="768">
        <v>315</v>
      </c>
      <c r="F26" s="959">
        <v>95</v>
      </c>
      <c r="G26" s="2781"/>
      <c r="H26" s="2782"/>
      <c r="I26" s="5"/>
      <c r="J26" s="5"/>
      <c r="K26" s="5"/>
      <c r="L26" s="5"/>
      <c r="M26" s="5"/>
      <c r="N26" s="5"/>
      <c r="O26" s="5"/>
    </row>
    <row r="27" spans="1:15" ht="24.6" thickBot="1">
      <c r="B27" s="2422"/>
      <c r="C27" s="2" t="s">
        <v>910</v>
      </c>
      <c r="D27" s="32" t="s">
        <v>1985</v>
      </c>
      <c r="E27" s="118">
        <f>IFERROR(E25/E26,"N.A.")</f>
        <v>1</v>
      </c>
      <c r="F27" s="118">
        <f>IFERROR(F25/F26,"N.A.")</f>
        <v>1</v>
      </c>
      <c r="H27" s="17"/>
      <c r="I27" s="5"/>
      <c r="J27" s="5"/>
      <c r="K27" s="5"/>
    </row>
    <row r="28" spans="1:15" ht="15" thickBot="1">
      <c r="B28" s="2423"/>
      <c r="C28" s="2"/>
      <c r="D28" s="102"/>
      <c r="E28" s="102"/>
      <c r="F28" s="102"/>
      <c r="G28" s="102"/>
      <c r="H28" s="19"/>
      <c r="I28" s="5"/>
      <c r="J28" s="5"/>
      <c r="K28" s="5"/>
    </row>
    <row r="29" spans="1:15" ht="7.5" customHeight="1" thickBot="1">
      <c r="A29" s="5"/>
      <c r="B29" s="5"/>
      <c r="C29" s="5"/>
      <c r="D29" s="5"/>
      <c r="E29" s="5"/>
      <c r="F29" s="5"/>
      <c r="G29" s="5"/>
      <c r="H29" s="5"/>
      <c r="I29" s="5"/>
      <c r="J29" s="5"/>
      <c r="K29" s="5"/>
    </row>
    <row r="30" spans="1:15" ht="26.25" customHeight="1" thickBot="1">
      <c r="A30" s="5"/>
      <c r="B30" s="5"/>
      <c r="C30" s="5"/>
      <c r="D30" s="42" t="s">
        <v>1986</v>
      </c>
      <c r="E30" s="118">
        <f>AVERAGE(E21:G21,E27:F27)</f>
        <v>1</v>
      </c>
      <c r="F30" s="249"/>
      <c r="G30" s="249"/>
      <c r="H30" s="54"/>
      <c r="I30" s="5"/>
      <c r="J30" s="5"/>
      <c r="K30" s="5"/>
    </row>
    <row r="31" spans="1:15" ht="6.75" customHeight="1">
      <c r="A31" s="5"/>
      <c r="B31" s="5"/>
      <c r="C31" s="5"/>
      <c r="D31" s="5"/>
      <c r="E31" s="5"/>
      <c r="F31" s="5"/>
      <c r="G31" s="5"/>
      <c r="H31" s="5"/>
      <c r="I31" s="5"/>
      <c r="J31" s="5"/>
      <c r="K31" s="5"/>
    </row>
    <row r="32" spans="1:15" ht="6" customHeight="1" thickBot="1">
      <c r="A32" s="5"/>
      <c r="B32" s="5"/>
      <c r="C32" s="5"/>
      <c r="D32" s="5"/>
      <c r="E32" s="5"/>
      <c r="F32" s="5"/>
      <c r="G32" s="5"/>
      <c r="H32" s="5"/>
      <c r="I32" s="5"/>
      <c r="J32" s="5"/>
      <c r="K32" s="5"/>
    </row>
    <row r="33" spans="2:11" ht="36" customHeight="1" thickBot="1">
      <c r="B33" s="42" t="s">
        <v>803</v>
      </c>
      <c r="C33" s="181"/>
      <c r="D33" s="2424" t="s">
        <v>1987</v>
      </c>
      <c r="E33" s="2425"/>
      <c r="F33" s="2425"/>
      <c r="G33" s="2425"/>
      <c r="H33" s="2426"/>
      <c r="I33" s="5"/>
      <c r="J33" s="5"/>
      <c r="K33" s="5"/>
    </row>
    <row r="34" spans="2:11" ht="48" customHeight="1" thickBot="1">
      <c r="B34" s="37" t="s">
        <v>805</v>
      </c>
      <c r="C34" s="71"/>
      <c r="D34" s="2424" t="s">
        <v>1988</v>
      </c>
      <c r="E34" s="2425"/>
      <c r="F34" s="2425"/>
      <c r="G34" s="2425"/>
      <c r="H34" s="2426"/>
      <c r="I34" s="5"/>
      <c r="J34" s="5"/>
      <c r="K34" s="5"/>
    </row>
    <row r="35" spans="2:11" ht="15" thickBot="1">
      <c r="B35" s="1"/>
      <c r="C35" s="63"/>
      <c r="D35" s="5"/>
      <c r="E35" s="5"/>
      <c r="F35" s="5"/>
      <c r="G35" s="5"/>
      <c r="H35" s="5"/>
      <c r="I35" s="5"/>
      <c r="J35" s="5"/>
      <c r="K35" s="5"/>
    </row>
    <row r="36" spans="2:11" ht="24" customHeight="1" thickBot="1">
      <c r="B36" s="2431" t="s">
        <v>807</v>
      </c>
      <c r="C36" s="2432"/>
      <c r="D36" s="2432"/>
      <c r="E36" s="2433"/>
      <c r="F36" s="5"/>
      <c r="G36" s="5"/>
      <c r="H36" s="5"/>
      <c r="I36" s="5"/>
      <c r="J36" s="5"/>
      <c r="K36" s="5"/>
    </row>
    <row r="37" spans="2:11" ht="15" thickBot="1">
      <c r="B37" s="2421">
        <v>1</v>
      </c>
      <c r="C37" s="72"/>
      <c r="D37" s="38" t="s">
        <v>808</v>
      </c>
      <c r="E37" s="956" t="s">
        <v>809</v>
      </c>
      <c r="F37" s="5"/>
      <c r="G37" s="5"/>
      <c r="H37" s="5"/>
      <c r="I37" s="5"/>
      <c r="J37" s="5"/>
      <c r="K37" s="5"/>
    </row>
    <row r="38" spans="2:11" ht="15" thickBot="1">
      <c r="B38" s="2422"/>
      <c r="C38" s="72"/>
      <c r="D38" s="32" t="s">
        <v>528</v>
      </c>
      <c r="E38" s="273" t="s">
        <v>1848</v>
      </c>
      <c r="F38" s="5"/>
      <c r="G38" s="5"/>
      <c r="H38" s="5"/>
      <c r="I38" s="5"/>
      <c r="J38" s="5"/>
      <c r="K38" s="5"/>
    </row>
    <row r="39" spans="2:11" ht="15" thickBot="1">
      <c r="B39" s="2422"/>
      <c r="C39" s="72"/>
      <c r="D39" s="32" t="s">
        <v>811</v>
      </c>
      <c r="E39" s="273" t="s">
        <v>942</v>
      </c>
      <c r="F39" s="5"/>
      <c r="G39" s="5"/>
      <c r="H39" s="5"/>
      <c r="I39" s="5"/>
      <c r="J39" s="5"/>
      <c r="K39" s="5"/>
    </row>
    <row r="40" spans="2:11" ht="15" thickBot="1">
      <c r="B40" s="2422"/>
      <c r="C40" s="72"/>
      <c r="D40" s="32" t="s">
        <v>531</v>
      </c>
      <c r="E40" s="131" t="s">
        <v>986</v>
      </c>
      <c r="F40" s="5"/>
      <c r="G40" s="5"/>
      <c r="H40" s="5"/>
      <c r="I40" s="5"/>
      <c r="J40" s="5"/>
      <c r="K40" s="5"/>
    </row>
    <row r="41" spans="2:11" ht="15" thickBot="1">
      <c r="B41" s="2422"/>
      <c r="C41" s="72"/>
      <c r="D41" s="32" t="s">
        <v>534</v>
      </c>
      <c r="E41" s="435" t="s">
        <v>1494</v>
      </c>
      <c r="F41" s="5"/>
      <c r="G41" s="5"/>
      <c r="H41" s="5"/>
      <c r="I41" s="5"/>
      <c r="J41" s="5"/>
      <c r="K41" s="5"/>
    </row>
    <row r="42" spans="2:11" ht="15" thickBot="1">
      <c r="B42" s="2422"/>
      <c r="C42" s="72"/>
      <c r="D42" s="32" t="s">
        <v>537</v>
      </c>
      <c r="E42" s="273" t="s">
        <v>945</v>
      </c>
      <c r="F42" s="5"/>
      <c r="G42" s="5"/>
      <c r="H42" s="5"/>
      <c r="I42" s="5"/>
      <c r="J42" s="5"/>
      <c r="K42" s="5"/>
    </row>
    <row r="43" spans="2:11" ht="15" thickBot="1">
      <c r="B43" s="2423"/>
      <c r="C43" s="2"/>
      <c r="D43" s="32" t="s">
        <v>815</v>
      </c>
      <c r="E43" s="273" t="s">
        <v>816</v>
      </c>
      <c r="F43" s="5"/>
      <c r="G43" s="5"/>
      <c r="H43" s="5"/>
      <c r="I43" s="5"/>
      <c r="J43" s="5"/>
      <c r="K43" s="5"/>
    </row>
    <row r="44" spans="2:11" ht="15" thickBot="1">
      <c r="B44" s="1"/>
      <c r="C44" s="63"/>
      <c r="D44" s="5"/>
      <c r="E44" s="5"/>
      <c r="F44" s="5"/>
      <c r="G44" s="5"/>
      <c r="H44" s="5"/>
      <c r="I44" s="5"/>
      <c r="J44" s="5"/>
      <c r="K44" s="5"/>
    </row>
    <row r="45" spans="2:11" ht="15" thickBot="1">
      <c r="B45" s="2431" t="s">
        <v>817</v>
      </c>
      <c r="C45" s="2432"/>
      <c r="D45" s="2432"/>
      <c r="E45" s="2433"/>
      <c r="F45" s="5"/>
      <c r="G45" s="5"/>
      <c r="H45" s="5"/>
      <c r="I45" s="5"/>
      <c r="J45" s="5"/>
      <c r="K45" s="5"/>
    </row>
    <row r="46" spans="2:11" ht="29.4" thickBot="1">
      <c r="B46" s="2421">
        <v>1</v>
      </c>
      <c r="C46" s="72"/>
      <c r="D46" s="38" t="s">
        <v>808</v>
      </c>
      <c r="E46" s="958" t="s">
        <v>818</v>
      </c>
      <c r="F46" s="5"/>
      <c r="G46" s="5"/>
      <c r="H46" s="5"/>
      <c r="I46" s="5"/>
      <c r="J46" s="5"/>
      <c r="K46" s="5"/>
    </row>
    <row r="47" spans="2:11" ht="43.8" thickBot="1">
      <c r="B47" s="2422"/>
      <c r="C47" s="72"/>
      <c r="D47" s="32" t="s">
        <v>528</v>
      </c>
      <c r="E47" s="957" t="s">
        <v>916</v>
      </c>
      <c r="F47" s="5"/>
      <c r="G47" s="5"/>
      <c r="H47" s="5"/>
      <c r="I47" s="5"/>
      <c r="J47" s="5"/>
      <c r="K47" s="5"/>
    </row>
    <row r="48" spans="2:11" ht="15" thickBot="1">
      <c r="B48" s="2422"/>
      <c r="C48" s="72"/>
      <c r="D48" s="32" t="s">
        <v>811</v>
      </c>
      <c r="E48" s="136"/>
      <c r="F48" s="5"/>
      <c r="G48" s="5"/>
      <c r="H48" s="5"/>
      <c r="I48" s="5"/>
      <c r="J48" s="5"/>
      <c r="K48" s="5"/>
    </row>
    <row r="49" spans="2:11" ht="15" thickBot="1">
      <c r="B49" s="2422"/>
      <c r="C49" s="72"/>
      <c r="D49" s="32" t="s">
        <v>531</v>
      </c>
      <c r="E49" s="136"/>
      <c r="F49" s="5"/>
      <c r="G49" s="5"/>
      <c r="H49" s="5"/>
      <c r="I49" s="5"/>
      <c r="J49" s="5"/>
      <c r="K49" s="5"/>
    </row>
    <row r="50" spans="2:11" ht="15" thickBot="1">
      <c r="B50" s="2422"/>
      <c r="C50" s="72"/>
      <c r="D50" s="32" t="s">
        <v>534</v>
      </c>
      <c r="E50" s="136"/>
      <c r="F50" s="5"/>
      <c r="G50" s="5"/>
      <c r="H50" s="5"/>
      <c r="I50" s="5"/>
      <c r="J50" s="5"/>
      <c r="K50" s="5"/>
    </row>
    <row r="51" spans="2:11" ht="15" thickBot="1">
      <c r="B51" s="2422"/>
      <c r="C51" s="72"/>
      <c r="D51" s="32" t="s">
        <v>537</v>
      </c>
      <c r="E51" s="136"/>
      <c r="F51" s="5"/>
      <c r="G51" s="5"/>
      <c r="H51" s="5"/>
      <c r="I51" s="5"/>
      <c r="J51" s="5"/>
      <c r="K51" s="5"/>
    </row>
    <row r="52" spans="2:11" ht="15" thickBot="1">
      <c r="B52" s="2423"/>
      <c r="C52" s="2"/>
      <c r="D52" s="32" t="s">
        <v>815</v>
      </c>
      <c r="E52" s="136"/>
      <c r="F52" s="5"/>
      <c r="G52" s="5"/>
      <c r="H52" s="5"/>
      <c r="I52" s="5"/>
      <c r="J52" s="5"/>
      <c r="K52" s="5"/>
    </row>
    <row r="53" spans="2:11" ht="15" thickBot="1">
      <c r="B53" s="1"/>
      <c r="C53" s="63"/>
      <c r="D53" s="5"/>
      <c r="E53" s="5"/>
      <c r="F53" s="5"/>
      <c r="G53" s="5"/>
      <c r="H53" s="5"/>
      <c r="I53" s="5"/>
      <c r="J53" s="5"/>
      <c r="K53" s="5"/>
    </row>
    <row r="54" spans="2:11" ht="15" customHeight="1" thickBot="1">
      <c r="B54" s="99" t="s">
        <v>820</v>
      </c>
      <c r="C54" s="100"/>
      <c r="D54" s="100"/>
      <c r="E54" s="101"/>
      <c r="G54" s="5"/>
      <c r="H54" s="5"/>
      <c r="I54" s="5"/>
      <c r="J54" s="5"/>
      <c r="K54" s="5"/>
    </row>
    <row r="55" spans="2:11" ht="15" thickBot="1">
      <c r="B55" s="37" t="s">
        <v>821</v>
      </c>
      <c r="C55" s="32" t="s">
        <v>822</v>
      </c>
      <c r="D55" s="32" t="s">
        <v>823</v>
      </c>
      <c r="E55" s="32" t="s">
        <v>824</v>
      </c>
      <c r="F55" s="5"/>
      <c r="G55" s="5"/>
      <c r="H55" s="5"/>
      <c r="I55" s="5"/>
      <c r="J55" s="5"/>
    </row>
    <row r="56" spans="2:11" ht="48.6" thickBot="1">
      <c r="B56" s="39">
        <v>42401</v>
      </c>
      <c r="C56" s="32">
        <v>0.01</v>
      </c>
      <c r="D56" s="40" t="s">
        <v>1989</v>
      </c>
      <c r="E56" s="32"/>
      <c r="F56" s="5"/>
      <c r="G56" s="5"/>
      <c r="H56" s="5"/>
      <c r="I56" s="5"/>
      <c r="J56" s="5"/>
    </row>
    <row r="57" spans="2:11" ht="15" thickBot="1">
      <c r="B57" s="3"/>
      <c r="C57" s="73"/>
      <c r="D57" s="5"/>
      <c r="E57" s="5"/>
      <c r="F57" s="5"/>
      <c r="G57" s="5"/>
      <c r="H57" s="5"/>
      <c r="I57" s="5"/>
      <c r="J57" s="5"/>
      <c r="K57" s="5"/>
    </row>
    <row r="58" spans="2:11" ht="15" thickBot="1">
      <c r="B58" s="105" t="s">
        <v>702</v>
      </c>
      <c r="C58" s="74"/>
      <c r="D58" s="5"/>
      <c r="E58" s="5"/>
      <c r="F58" s="5"/>
      <c r="G58" s="5"/>
      <c r="H58" s="5"/>
      <c r="I58" s="5"/>
      <c r="J58" s="5"/>
      <c r="K58" s="5"/>
    </row>
    <row r="59" spans="2:11" ht="10.5" customHeight="1">
      <c r="B59" s="2513"/>
      <c r="C59" s="2514"/>
      <c r="D59" s="2514"/>
      <c r="E59" s="2515"/>
      <c r="F59" s="5"/>
      <c r="G59" s="5"/>
      <c r="H59" s="5"/>
      <c r="I59" s="5"/>
      <c r="J59" s="5"/>
      <c r="K59" s="5"/>
    </row>
    <row r="60" spans="2:11" ht="6" customHeight="1" thickBot="1">
      <c r="B60" s="2516"/>
      <c r="C60" s="2517"/>
      <c r="D60" s="2517"/>
      <c r="E60" s="2518"/>
      <c r="F60" s="5"/>
      <c r="G60" s="5"/>
      <c r="H60" s="5"/>
      <c r="I60" s="5"/>
      <c r="J60" s="5"/>
      <c r="K60" s="5"/>
    </row>
    <row r="61" spans="2:11">
      <c r="B61" s="5"/>
      <c r="D61" s="5"/>
      <c r="E61" s="5"/>
      <c r="F61" s="5"/>
      <c r="G61" s="5"/>
      <c r="H61" s="5"/>
      <c r="I61" s="5"/>
      <c r="J61" s="5"/>
      <c r="K61" s="5"/>
    </row>
    <row r="62" spans="2:11" ht="20.25" customHeight="1">
      <c r="B62" s="2779" t="s">
        <v>826</v>
      </c>
      <c r="C62" s="2780"/>
      <c r="D62" s="2780"/>
      <c r="E62" s="5"/>
      <c r="F62" s="5"/>
      <c r="G62" s="5"/>
      <c r="H62" s="5"/>
      <c r="I62" s="5"/>
      <c r="J62" s="5"/>
      <c r="K62" s="5"/>
    </row>
    <row r="63" spans="2:11" ht="15" thickBot="1">
      <c r="B63" s="1"/>
      <c r="C63" s="63"/>
      <c r="D63" s="5"/>
      <c r="E63" s="5"/>
      <c r="F63" s="5"/>
      <c r="G63" s="5"/>
      <c r="H63" s="5"/>
      <c r="I63" s="5"/>
      <c r="J63" s="5"/>
      <c r="K63" s="5"/>
    </row>
    <row r="64" spans="2:11" ht="48.6" thickBot="1">
      <c r="B64" s="42" t="s">
        <v>827</v>
      </c>
      <c r="C64" s="76"/>
      <c r="D64" s="34" t="s">
        <v>1990</v>
      </c>
      <c r="E64" s="5"/>
      <c r="F64" s="5"/>
      <c r="G64" s="5"/>
      <c r="H64" s="5"/>
      <c r="I64" s="5"/>
      <c r="J64" s="5"/>
      <c r="K64" s="5"/>
    </row>
    <row r="65" spans="2:11">
      <c r="B65" s="2421" t="s">
        <v>829</v>
      </c>
      <c r="C65" s="72"/>
      <c r="D65" s="43" t="s">
        <v>830</v>
      </c>
      <c r="E65" s="5"/>
      <c r="F65" s="5"/>
      <c r="G65" s="5"/>
      <c r="H65" s="5"/>
      <c r="I65" s="5"/>
      <c r="J65" s="5"/>
      <c r="K65" s="5"/>
    </row>
    <row r="66" spans="2:11" ht="36">
      <c r="B66" s="2422"/>
      <c r="C66" s="72"/>
      <c r="D66" s="36" t="s">
        <v>1991</v>
      </c>
      <c r="E66" s="5"/>
      <c r="F66" s="5"/>
      <c r="G66" s="5"/>
      <c r="H66" s="5"/>
      <c r="I66" s="5"/>
      <c r="J66" s="5"/>
      <c r="K66" s="5"/>
    </row>
    <row r="67" spans="2:11">
      <c r="B67" s="2422"/>
      <c r="C67" s="72"/>
      <c r="D67" s="43" t="s">
        <v>920</v>
      </c>
      <c r="E67" s="5"/>
      <c r="F67" s="5"/>
      <c r="G67" s="5"/>
      <c r="H67" s="5"/>
      <c r="I67" s="5"/>
      <c r="J67" s="5"/>
      <c r="K67" s="5"/>
    </row>
    <row r="68" spans="2:11">
      <c r="B68" s="2422"/>
      <c r="C68" s="72"/>
      <c r="D68" s="36" t="s">
        <v>835</v>
      </c>
      <c r="E68" s="5"/>
      <c r="F68" s="5"/>
      <c r="G68" s="5"/>
      <c r="H68" s="5"/>
      <c r="I68" s="5"/>
      <c r="J68" s="5"/>
      <c r="K68" s="5"/>
    </row>
    <row r="69" spans="2:11">
      <c r="B69" s="2422"/>
      <c r="C69" s="72"/>
      <c r="D69" s="36" t="s">
        <v>1954</v>
      </c>
      <c r="E69" s="5"/>
      <c r="F69" s="5"/>
      <c r="G69" s="5"/>
      <c r="H69" s="5"/>
      <c r="I69" s="5"/>
      <c r="J69" s="5"/>
      <c r="K69" s="5"/>
    </row>
    <row r="70" spans="2:11" ht="36">
      <c r="B70" s="2422"/>
      <c r="C70" s="72"/>
      <c r="D70" s="36" t="s">
        <v>1955</v>
      </c>
      <c r="E70" s="5"/>
      <c r="F70" s="5"/>
      <c r="G70" s="5"/>
      <c r="H70" s="5"/>
      <c r="I70" s="5"/>
      <c r="J70" s="5"/>
      <c r="K70" s="5"/>
    </row>
    <row r="71" spans="2:11">
      <c r="B71" s="2422"/>
      <c r="C71" s="72"/>
      <c r="D71" s="36" t="s">
        <v>1992</v>
      </c>
      <c r="E71" s="5"/>
      <c r="F71" s="5"/>
      <c r="G71" s="5"/>
      <c r="H71" s="5"/>
      <c r="I71" s="5"/>
      <c r="J71" s="5"/>
      <c r="K71" s="5"/>
    </row>
    <row r="72" spans="2:11">
      <c r="B72" s="2422"/>
      <c r="C72" s="72"/>
      <c r="D72" s="36" t="s">
        <v>1993</v>
      </c>
      <c r="E72" s="5"/>
      <c r="F72" s="5"/>
      <c r="G72" s="5"/>
      <c r="H72" s="5"/>
      <c r="I72" s="5"/>
      <c r="J72" s="5"/>
      <c r="K72" s="5"/>
    </row>
    <row r="73" spans="2:11">
      <c r="B73" s="2422"/>
      <c r="C73" s="72"/>
      <c r="D73" s="43" t="s">
        <v>1994</v>
      </c>
      <c r="E73" s="5"/>
      <c r="F73" s="5"/>
      <c r="G73" s="5"/>
      <c r="H73" s="5"/>
      <c r="I73" s="5"/>
      <c r="J73" s="5"/>
      <c r="K73" s="5"/>
    </row>
    <row r="74" spans="2:11" ht="48">
      <c r="B74" s="2422"/>
      <c r="C74" s="72"/>
      <c r="D74" s="36" t="s">
        <v>1995</v>
      </c>
      <c r="E74" s="5"/>
      <c r="F74" s="5"/>
      <c r="G74" s="5"/>
      <c r="H74" s="5"/>
      <c r="I74" s="5"/>
      <c r="J74" s="5"/>
      <c r="K74" s="5"/>
    </row>
    <row r="75" spans="2:11">
      <c r="B75" s="2422"/>
      <c r="C75" s="72"/>
      <c r="D75" s="45" t="s">
        <v>1956</v>
      </c>
      <c r="E75" s="5"/>
      <c r="F75" s="5"/>
      <c r="G75" s="5"/>
      <c r="H75" s="5"/>
      <c r="I75" s="5"/>
      <c r="J75" s="5"/>
      <c r="K75" s="5"/>
    </row>
    <row r="76" spans="2:11" ht="15" thickBot="1">
      <c r="B76" s="2423"/>
      <c r="C76" s="2"/>
      <c r="D76" s="46" t="s">
        <v>1957</v>
      </c>
      <c r="E76" s="5"/>
      <c r="F76" s="5"/>
      <c r="G76" s="5"/>
      <c r="H76" s="5"/>
      <c r="I76" s="5"/>
      <c r="J76" s="5"/>
      <c r="K76" s="5"/>
    </row>
    <row r="77" spans="2:11" ht="24.6" thickBot="1">
      <c r="B77" s="37" t="s">
        <v>842</v>
      </c>
      <c r="C77" s="2"/>
      <c r="D77" s="32" t="s">
        <v>1996</v>
      </c>
      <c r="E77" s="5"/>
      <c r="F77" s="5"/>
      <c r="G77" s="5"/>
      <c r="H77" s="5"/>
      <c r="I77" s="5"/>
      <c r="J77" s="5"/>
      <c r="K77" s="5"/>
    </row>
    <row r="78" spans="2:11" ht="72">
      <c r="B78" s="2421" t="s">
        <v>843</v>
      </c>
      <c r="C78" s="72"/>
      <c r="D78" s="36" t="s">
        <v>1997</v>
      </c>
      <c r="E78" s="5"/>
      <c r="F78" s="5"/>
      <c r="G78" s="5"/>
      <c r="H78" s="5"/>
      <c r="I78" s="5"/>
      <c r="J78" s="5"/>
      <c r="K78" s="5"/>
    </row>
    <row r="79" spans="2:11" ht="144">
      <c r="B79" s="2422"/>
      <c r="C79" s="72"/>
      <c r="D79" s="36" t="s">
        <v>1998</v>
      </c>
      <c r="E79" s="5"/>
      <c r="F79" s="5"/>
      <c r="G79" s="5"/>
      <c r="H79" s="5"/>
      <c r="I79" s="5"/>
      <c r="J79" s="5"/>
      <c r="K79" s="5"/>
    </row>
    <row r="80" spans="2:11" ht="180">
      <c r="B80" s="2422"/>
      <c r="C80" s="72"/>
      <c r="D80" s="36" t="s">
        <v>1999</v>
      </c>
      <c r="E80" s="5"/>
      <c r="F80" s="5"/>
      <c r="G80" s="5"/>
      <c r="H80" s="5"/>
      <c r="I80" s="5"/>
      <c r="J80" s="5"/>
      <c r="K80" s="5"/>
    </row>
    <row r="81" spans="2:11" ht="60">
      <c r="B81" s="2422"/>
      <c r="C81" s="72"/>
      <c r="D81" s="36" t="s">
        <v>2000</v>
      </c>
      <c r="E81" s="5"/>
      <c r="F81" s="5"/>
      <c r="G81" s="5"/>
      <c r="H81" s="5"/>
      <c r="I81" s="5"/>
      <c r="J81" s="5"/>
      <c r="K81" s="5"/>
    </row>
    <row r="82" spans="2:11" ht="144">
      <c r="B82" s="2422"/>
      <c r="C82" s="72"/>
      <c r="D82" s="36" t="s">
        <v>1961</v>
      </c>
      <c r="E82" s="5"/>
      <c r="F82" s="5"/>
      <c r="G82" s="5"/>
      <c r="H82" s="5"/>
      <c r="I82" s="5"/>
      <c r="J82" s="5"/>
      <c r="K82" s="5"/>
    </row>
    <row r="83" spans="2:11" ht="132">
      <c r="B83" s="2422"/>
      <c r="C83" s="72"/>
      <c r="D83" s="36" t="s">
        <v>2001</v>
      </c>
      <c r="E83" s="5"/>
      <c r="F83" s="5"/>
      <c r="G83" s="5"/>
      <c r="H83" s="5"/>
      <c r="I83" s="5"/>
      <c r="J83" s="5"/>
      <c r="K83" s="5"/>
    </row>
    <row r="84" spans="2:11" ht="96.6" thickBot="1">
      <c r="B84" s="2423"/>
      <c r="C84" s="2"/>
      <c r="D84" s="32" t="s">
        <v>2002</v>
      </c>
      <c r="E84" s="5"/>
      <c r="F84" s="5"/>
      <c r="G84" s="5"/>
      <c r="H84" s="5"/>
      <c r="I84" s="5"/>
      <c r="J84" s="5"/>
      <c r="K84" s="5"/>
    </row>
    <row r="85" spans="2:11" ht="24">
      <c r="B85" s="2421" t="s">
        <v>860</v>
      </c>
      <c r="C85" s="72"/>
      <c r="D85" s="47" t="s">
        <v>1971</v>
      </c>
      <c r="E85" s="5"/>
      <c r="F85" s="5"/>
      <c r="G85" s="5"/>
      <c r="H85" s="5"/>
      <c r="I85" s="5"/>
      <c r="J85" s="5"/>
      <c r="K85" s="5"/>
    </row>
    <row r="86" spans="2:11">
      <c r="B86" s="2422"/>
      <c r="C86" s="72"/>
      <c r="D86" s="13"/>
      <c r="E86" s="5"/>
      <c r="F86" s="5"/>
      <c r="G86" s="5"/>
      <c r="H86" s="5"/>
      <c r="I86" s="5"/>
      <c r="J86" s="5"/>
      <c r="K86" s="5"/>
    </row>
    <row r="87" spans="2:11">
      <c r="B87" s="2422"/>
      <c r="C87" s="72"/>
      <c r="D87" s="36" t="s">
        <v>861</v>
      </c>
      <c r="E87" s="5"/>
      <c r="F87" s="5"/>
      <c r="G87" s="5"/>
      <c r="H87" s="5"/>
      <c r="I87" s="5"/>
      <c r="J87" s="5"/>
      <c r="K87" s="5"/>
    </row>
    <row r="88" spans="2:11" ht="26.4">
      <c r="B88" s="2422"/>
      <c r="C88" s="72"/>
      <c r="D88" s="36" t="s">
        <v>2003</v>
      </c>
      <c r="E88" s="5"/>
      <c r="F88" s="5"/>
      <c r="G88" s="5"/>
      <c r="H88" s="5"/>
      <c r="I88" s="5"/>
      <c r="J88" s="5"/>
      <c r="K88" s="5"/>
    </row>
    <row r="89" spans="2:11" ht="26.4">
      <c r="B89" s="2422"/>
      <c r="C89" s="72"/>
      <c r="D89" s="36" t="s">
        <v>2004</v>
      </c>
      <c r="E89" s="5"/>
      <c r="F89" s="5"/>
      <c r="G89" s="5"/>
      <c r="H89" s="5"/>
      <c r="I89" s="5"/>
      <c r="J89" s="5"/>
      <c r="K89" s="5"/>
    </row>
    <row r="90" spans="2:11">
      <c r="B90" s="2422"/>
      <c r="C90" s="72"/>
      <c r="D90" s="36" t="s">
        <v>2005</v>
      </c>
      <c r="E90" s="5"/>
      <c r="F90" s="5"/>
      <c r="G90" s="5"/>
      <c r="H90" s="5"/>
      <c r="I90" s="5"/>
      <c r="J90" s="5"/>
      <c r="K90" s="5"/>
    </row>
    <row r="91" spans="2:11" ht="38.4">
      <c r="B91" s="2422"/>
      <c r="C91" s="72"/>
      <c r="D91" s="36" t="s">
        <v>2006</v>
      </c>
      <c r="E91" s="5"/>
      <c r="F91" s="5"/>
      <c r="G91" s="5"/>
      <c r="H91" s="5"/>
      <c r="I91" s="5"/>
      <c r="J91" s="5"/>
      <c r="K91" s="5"/>
    </row>
    <row r="92" spans="2:11" ht="36">
      <c r="B92" s="2422"/>
      <c r="C92" s="72"/>
      <c r="D92" s="36" t="s">
        <v>2007</v>
      </c>
      <c r="E92" s="5"/>
      <c r="F92" s="5"/>
      <c r="G92" s="5"/>
      <c r="H92" s="5"/>
      <c r="I92" s="5"/>
      <c r="J92" s="5"/>
      <c r="K92" s="5"/>
    </row>
    <row r="93" spans="2:11" ht="36">
      <c r="B93" s="2422"/>
      <c r="C93" s="72"/>
      <c r="D93" s="36" t="s">
        <v>2008</v>
      </c>
      <c r="E93" s="5"/>
      <c r="F93" s="5"/>
      <c r="G93" s="5"/>
      <c r="H93" s="5"/>
      <c r="I93" s="5"/>
      <c r="J93" s="5"/>
      <c r="K93" s="5"/>
    </row>
    <row r="94" spans="2:11" ht="24">
      <c r="B94" s="2422"/>
      <c r="C94" s="72"/>
      <c r="D94" s="43" t="s">
        <v>2009</v>
      </c>
      <c r="E94" s="5"/>
      <c r="F94" s="5"/>
      <c r="G94" s="5"/>
      <c r="H94" s="5"/>
      <c r="I94" s="5"/>
      <c r="J94" s="5"/>
      <c r="K94" s="5"/>
    </row>
    <row r="95" spans="2:11">
      <c r="B95" s="2422"/>
      <c r="C95" s="72"/>
      <c r="D95" s="13"/>
      <c r="E95" s="5"/>
      <c r="F95" s="5"/>
      <c r="G95" s="5"/>
      <c r="H95" s="5"/>
      <c r="I95" s="5"/>
      <c r="J95" s="5"/>
      <c r="K95" s="5"/>
    </row>
    <row r="96" spans="2:11">
      <c r="B96" s="2422"/>
      <c r="C96" s="72"/>
      <c r="D96" s="36" t="s">
        <v>861</v>
      </c>
      <c r="E96" s="5"/>
      <c r="F96" s="5"/>
      <c r="G96" s="5"/>
      <c r="H96" s="5"/>
      <c r="I96" s="5"/>
      <c r="J96" s="5"/>
      <c r="K96" s="5"/>
    </row>
    <row r="97" spans="2:11" ht="26.4">
      <c r="B97" s="2422"/>
      <c r="C97" s="72"/>
      <c r="D97" s="36" t="s">
        <v>2010</v>
      </c>
      <c r="E97" s="5"/>
      <c r="F97" s="5"/>
      <c r="G97" s="5"/>
      <c r="H97" s="5"/>
      <c r="I97" s="5"/>
      <c r="J97" s="5"/>
      <c r="K97" s="5"/>
    </row>
    <row r="98" spans="2:11" ht="26.4">
      <c r="B98" s="2422"/>
      <c r="C98" s="72"/>
      <c r="D98" s="36" t="s">
        <v>2011</v>
      </c>
      <c r="E98" s="5"/>
      <c r="F98" s="5"/>
      <c r="G98" s="5"/>
      <c r="H98" s="5"/>
      <c r="I98" s="5"/>
      <c r="J98" s="5"/>
      <c r="K98" s="5"/>
    </row>
    <row r="99" spans="2:11" ht="26.4">
      <c r="B99" s="2422"/>
      <c r="C99" s="72"/>
      <c r="D99" s="36" t="s">
        <v>2012</v>
      </c>
      <c r="E99" s="5"/>
      <c r="F99" s="5"/>
      <c r="G99" s="5"/>
      <c r="H99" s="5"/>
      <c r="I99" s="5"/>
      <c r="J99" s="5"/>
      <c r="K99" s="5"/>
    </row>
    <row r="100" spans="2:11">
      <c r="B100" s="2422"/>
      <c r="C100" s="72"/>
      <c r="D100" s="48" t="s">
        <v>2013</v>
      </c>
      <c r="E100" s="5"/>
      <c r="F100" s="5"/>
      <c r="G100" s="5"/>
      <c r="H100" s="5"/>
      <c r="I100" s="5"/>
      <c r="J100" s="5"/>
      <c r="K100" s="5"/>
    </row>
    <row r="101" spans="2:11" ht="48">
      <c r="B101" s="2422"/>
      <c r="C101" s="72"/>
      <c r="D101" s="36" t="s">
        <v>2014</v>
      </c>
      <c r="E101" s="5"/>
      <c r="F101" s="5"/>
      <c r="G101" s="5"/>
      <c r="H101" s="5"/>
      <c r="I101" s="5"/>
      <c r="J101" s="5"/>
      <c r="K101" s="5"/>
    </row>
    <row r="102" spans="2:11" ht="24">
      <c r="B102" s="2422"/>
      <c r="C102" s="72"/>
      <c r="D102" s="43" t="s">
        <v>1980</v>
      </c>
      <c r="E102" s="5"/>
      <c r="F102" s="5"/>
      <c r="G102" s="5"/>
      <c r="H102" s="5"/>
      <c r="I102" s="5"/>
      <c r="J102" s="5"/>
      <c r="K102" s="5"/>
    </row>
    <row r="103" spans="2:11">
      <c r="B103" s="2422"/>
      <c r="C103" s="72"/>
      <c r="D103" s="13"/>
      <c r="E103" s="5"/>
      <c r="F103" s="5"/>
      <c r="G103" s="5"/>
      <c r="H103" s="5"/>
      <c r="I103" s="5"/>
      <c r="J103" s="5"/>
      <c r="K103" s="5"/>
    </row>
    <row r="104" spans="2:11">
      <c r="B104" s="2422"/>
      <c r="C104" s="72"/>
      <c r="D104" s="36" t="s">
        <v>861</v>
      </c>
      <c r="E104" s="5"/>
      <c r="F104" s="5"/>
      <c r="G104" s="5"/>
      <c r="H104" s="5"/>
      <c r="I104" s="5"/>
      <c r="J104" s="5"/>
      <c r="K104" s="5"/>
    </row>
    <row r="105" spans="2:11" ht="38.4">
      <c r="B105" s="2422"/>
      <c r="C105" s="72"/>
      <c r="D105" s="36" t="s">
        <v>2015</v>
      </c>
      <c r="E105" s="5"/>
      <c r="F105" s="5"/>
      <c r="G105" s="5"/>
      <c r="H105" s="5"/>
      <c r="I105" s="5"/>
      <c r="J105" s="5"/>
      <c r="K105" s="5"/>
    </row>
    <row r="106" spans="2:11" ht="38.4">
      <c r="B106" s="2422"/>
      <c r="C106" s="72"/>
      <c r="D106" s="36" t="s">
        <v>2016</v>
      </c>
      <c r="E106" s="5"/>
      <c r="F106" s="5"/>
      <c r="G106" s="5"/>
      <c r="H106" s="5"/>
      <c r="I106" s="5"/>
      <c r="J106" s="5"/>
      <c r="K106" s="5"/>
    </row>
    <row r="107" spans="2:11" ht="26.4">
      <c r="B107" s="2422"/>
      <c r="C107" s="72"/>
      <c r="D107" s="36" t="s">
        <v>2017</v>
      </c>
      <c r="E107" s="5"/>
      <c r="F107" s="5"/>
      <c r="G107" s="5"/>
      <c r="H107" s="5"/>
      <c r="I107" s="5"/>
      <c r="J107" s="5"/>
      <c r="K107" s="5"/>
    </row>
    <row r="108" spans="2:11" ht="15" thickBot="1">
      <c r="B108" s="2423"/>
      <c r="C108" s="2"/>
      <c r="D108" s="32" t="s">
        <v>2018</v>
      </c>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sheetData>
  <mergeCells count="28">
    <mergeCell ref="B62:D62"/>
    <mergeCell ref="G25:H26"/>
    <mergeCell ref="A1:P1"/>
    <mergeCell ref="A2:P2"/>
    <mergeCell ref="A3:P3"/>
    <mergeCell ref="A4:D4"/>
    <mergeCell ref="A5:P5"/>
    <mergeCell ref="B10:D10"/>
    <mergeCell ref="F10:S10"/>
    <mergeCell ref="F11:S11"/>
    <mergeCell ref="E12:R12"/>
    <mergeCell ref="E13:R13"/>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s>
  <conditionalFormatting sqref="E12:R12">
    <cfRule type="expression" dxfId="15" priority="1">
      <formula>E11="SI SE REPORTA"</formula>
    </cfRule>
  </conditionalFormatting>
  <conditionalFormatting sqref="F10">
    <cfRule type="notContainsBlanks" dxfId="14" priority="4">
      <formula>LEN(TRIM(F10))&gt;0</formula>
    </cfRule>
  </conditionalFormatting>
  <conditionalFormatting sqref="F11:S11">
    <cfRule type="expression" dxfId="13" priority="2">
      <formula>E11="NO SE REPORTA"</formula>
    </cfRule>
    <cfRule type="expression" dxfId="12"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xr:uid="{1BEF047A-95BD-475C-B6EB-D7EF98B5910A}">
      <formula1>0</formula1>
    </dataValidation>
    <dataValidation allowBlank="1" showInputMessage="1" showErrorMessage="1" promptTitle="OJO" prompt="NO TOCAR" sqref="E21:G21 E27:F27" xr:uid="{E8645021-1C1C-4773-9419-81FF40DACC0A}"/>
    <dataValidation type="list" allowBlank="1" showInputMessage="1" showErrorMessage="1" sqref="E11" xr:uid="{17959E1A-3605-4A8A-84C9-B3679CAEBE6B}">
      <formula1>REPORTE</formula1>
    </dataValidation>
    <dataValidation type="list" allowBlank="1" showInputMessage="1" showErrorMessage="1" sqref="E10" xr:uid="{5A5006D7-EF0F-462A-8BBB-2C8180455AB5}">
      <formula1>SI</formula1>
    </dataValidation>
  </dataValidations>
  <hyperlinks>
    <hyperlink ref="D75" r:id="rId1" display="http://www.sisaire.gov.co/" xr:uid="{7BFB66E4-105F-4D31-903B-BB7EE27B6A76}"/>
    <hyperlink ref="D76" r:id="rId2" display="http://www.sirh.ideam.gov.co/" xr:uid="{33212318-6FA3-43C5-8882-A42968F8A39A}"/>
    <hyperlink ref="B9" location="'ANEXO 3'!A1" display="VOLVER AL INDICE" xr:uid="{78941A89-7A6B-4B2E-AB15-4C4913226B60}"/>
    <hyperlink ref="E41" r:id="rId3" xr:uid="{D0F717B8-C1B0-4D64-88C9-CF2BAF33743C}"/>
  </hyperlinks>
  <pageMargins left="0.25" right="0.25" top="0.75" bottom="0.75" header="0.3" footer="0.3"/>
  <pageSetup paperSize="178" orientation="landscape" horizontalDpi="1200" verticalDpi="1200" r:id="rId4"/>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dimension ref="A1:S154"/>
  <sheetViews>
    <sheetView topLeftCell="A31" workbookViewId="0">
      <selection activeCell="M26" sqref="M26"/>
    </sheetView>
  </sheetViews>
  <sheetFormatPr baseColWidth="10" defaultColWidth="11.44140625" defaultRowHeight="14.4"/>
  <cols>
    <col min="1" max="1" width="1.88671875" style="306" customWidth="1"/>
    <col min="2" max="2" width="13.6640625" style="306" customWidth="1"/>
    <col min="3" max="3" width="9.33203125" style="461" customWidth="1"/>
    <col min="4" max="4" width="36.88671875" style="306" customWidth="1"/>
    <col min="5" max="5" width="15.109375" style="306" customWidth="1"/>
    <col min="6" max="6" width="14.88671875" style="306" customWidth="1"/>
    <col min="7" max="7" width="13.5546875" style="306" customWidth="1"/>
    <col min="8" max="8" width="14.44140625" style="306" customWidth="1"/>
    <col min="9" max="10" width="13.109375" style="306" customWidth="1"/>
    <col min="11" max="11" width="14.44140625" style="607" customWidth="1"/>
    <col min="12" max="16384" width="11.44140625" style="306"/>
  </cols>
  <sheetData>
    <row r="1" spans="1:19" s="304" customFormat="1" ht="100.5" customHeight="1" thickBot="1">
      <c r="A1" s="2384"/>
      <c r="B1" s="2385"/>
      <c r="C1" s="2385"/>
      <c r="D1" s="2385"/>
      <c r="E1" s="2385"/>
      <c r="F1" s="2385"/>
      <c r="G1" s="2385"/>
      <c r="H1" s="2385"/>
      <c r="I1" s="2385"/>
      <c r="J1" s="2385"/>
      <c r="K1" s="2385"/>
      <c r="L1" s="2385"/>
      <c r="M1" s="2385"/>
      <c r="N1" s="2385"/>
      <c r="O1" s="2385"/>
      <c r="P1" s="2386"/>
      <c r="Q1" s="306"/>
      <c r="R1" s="306"/>
    </row>
    <row r="2" spans="1:19" s="305" customFormat="1" ht="16.2" thickBot="1">
      <c r="A2" s="2381" t="s">
        <v>520</v>
      </c>
      <c r="B2" s="2382"/>
      <c r="C2" s="2382"/>
      <c r="D2" s="2382"/>
      <c r="E2" s="2382"/>
      <c r="F2" s="2382"/>
      <c r="G2" s="2382"/>
      <c r="H2" s="2382"/>
      <c r="I2" s="2382"/>
      <c r="J2" s="2382"/>
      <c r="K2" s="2382"/>
      <c r="L2" s="2382"/>
      <c r="M2" s="2382"/>
      <c r="N2" s="2382"/>
      <c r="O2" s="2382"/>
      <c r="P2" s="2383"/>
      <c r="Q2" s="306"/>
      <c r="R2" s="306"/>
    </row>
    <row r="3" spans="1:19" s="305" customFormat="1" ht="16.2" thickBot="1">
      <c r="A3" s="2392" t="s">
        <v>696</v>
      </c>
      <c r="B3" s="2393"/>
      <c r="C3" s="2393"/>
      <c r="D3" s="2393"/>
      <c r="E3" s="2393"/>
      <c r="F3" s="2393"/>
      <c r="G3" s="2393"/>
      <c r="H3" s="2393"/>
      <c r="I3" s="2393"/>
      <c r="J3" s="2393"/>
      <c r="K3" s="2393"/>
      <c r="L3" s="2393"/>
      <c r="M3" s="2393"/>
      <c r="N3" s="2393"/>
      <c r="O3" s="2393"/>
      <c r="P3" s="2394"/>
      <c r="Q3" s="306"/>
      <c r="R3" s="306"/>
    </row>
    <row r="4" spans="1:19" s="305" customFormat="1" ht="16.2" thickBot="1">
      <c r="A4" s="2387" t="s">
        <v>697</v>
      </c>
      <c r="B4" s="2388"/>
      <c r="C4" s="2388"/>
      <c r="D4" s="2388"/>
      <c r="E4" s="312" t="str">
        <f>+'Datos Generales'!C6</f>
        <v>2025-II</v>
      </c>
      <c r="F4" s="312"/>
      <c r="G4" s="312"/>
      <c r="H4" s="312"/>
      <c r="I4" s="312"/>
      <c r="J4" s="312"/>
      <c r="K4" s="606"/>
      <c r="L4" s="313"/>
      <c r="M4" s="313"/>
      <c r="N4" s="313"/>
      <c r="O4" s="313"/>
      <c r="P4" s="314"/>
      <c r="Q4" s="306"/>
      <c r="R4" s="306"/>
    </row>
    <row r="5" spans="1:19" ht="16.5" customHeight="1" thickBot="1">
      <c r="A5" s="2392" t="s">
        <v>36</v>
      </c>
      <c r="B5" s="2393"/>
      <c r="C5" s="2393"/>
      <c r="D5" s="2393"/>
      <c r="E5" s="2393"/>
      <c r="F5" s="2393"/>
      <c r="G5" s="2393"/>
      <c r="H5" s="2393"/>
      <c r="I5" s="2393"/>
      <c r="J5" s="2393"/>
      <c r="K5" s="2393"/>
      <c r="L5" s="2393"/>
      <c r="M5" s="2393"/>
      <c r="N5" s="2393"/>
      <c r="O5" s="2393"/>
      <c r="P5" s="2394"/>
    </row>
    <row r="6" spans="1:19">
      <c r="B6" s="452" t="s">
        <v>736</v>
      </c>
      <c r="C6" s="453"/>
      <c r="E6" s="454"/>
      <c r="F6" s="306" t="s">
        <v>737</v>
      </c>
    </row>
    <row r="7" spans="1:19" ht="15" thickBot="1">
      <c r="B7" s="455"/>
      <c r="C7" s="567"/>
      <c r="E7" s="456"/>
      <c r="F7" s="306" t="s">
        <v>738</v>
      </c>
    </row>
    <row r="8" spans="1:19" ht="15" thickBot="1">
      <c r="B8" s="568" t="s">
        <v>739</v>
      </c>
      <c r="C8" s="753">
        <v>2025</v>
      </c>
      <c r="D8" s="569">
        <f>IF(E10="NO APLICA","NO APLICA",IF(E11="NO SE REPORTA","SIN INFORMACION",+F72))</f>
        <v>0.99794473602415501</v>
      </c>
      <c r="E8" s="459"/>
      <c r="F8" s="306" t="s">
        <v>740</v>
      </c>
    </row>
    <row r="9" spans="1:19">
      <c r="B9" s="570" t="s">
        <v>741</v>
      </c>
      <c r="C9" s="465"/>
    </row>
    <row r="10" spans="1:19">
      <c r="B10" s="2487" t="s">
        <v>742</v>
      </c>
      <c r="C10" s="2487"/>
      <c r="D10" s="2487"/>
      <c r="E10" s="463" t="s">
        <v>743</v>
      </c>
      <c r="F10" s="280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806"/>
      <c r="H10" s="2806"/>
      <c r="I10" s="2806"/>
      <c r="J10" s="2806"/>
      <c r="K10" s="2806"/>
      <c r="L10" s="2806"/>
      <c r="M10" s="2806"/>
      <c r="N10" s="2806"/>
      <c r="O10" s="2806"/>
      <c r="P10" s="2806"/>
      <c r="Q10" s="2806"/>
      <c r="R10" s="2806"/>
      <c r="S10" s="2806"/>
    </row>
    <row r="11" spans="1:19" ht="14.4" customHeight="1">
      <c r="B11" s="571"/>
      <c r="C11" s="465"/>
      <c r="D11" s="457" t="str">
        <f>IF(E10="SI APLICA","¿El indicador no se reporta por limitaciones de información disponible? ","")</f>
        <v xml:space="preserve">¿El indicador no se reporta por limitaciones de información disponible? </v>
      </c>
      <c r="E11" s="466" t="s">
        <v>744</v>
      </c>
      <c r="F11" s="2807"/>
      <c r="G11" s="2808"/>
      <c r="H11" s="2808"/>
      <c r="I11" s="2808"/>
      <c r="J11" s="2808"/>
      <c r="K11" s="2808"/>
      <c r="L11" s="2808"/>
      <c r="M11" s="2808"/>
      <c r="N11" s="2808"/>
      <c r="O11" s="2808"/>
      <c r="P11" s="2808"/>
      <c r="Q11" s="2808"/>
      <c r="R11" s="2808"/>
      <c r="S11" s="2808"/>
    </row>
    <row r="12" spans="1:19" ht="409.5" customHeight="1">
      <c r="B12" s="570"/>
      <c r="C12" s="465"/>
      <c r="D12" s="457" t="str">
        <f>IF(E11="SI SE REPORTA","¿Qué programas o proyectos del Plan de Acción están asociados al indicador? ","")</f>
        <v xml:space="preserve">¿Qué programas o proyectos del Plan de Acción están asociados al indicador? </v>
      </c>
      <c r="E12" s="2809" t="s">
        <v>2019</v>
      </c>
      <c r="F12" s="2809"/>
      <c r="G12" s="2809"/>
      <c r="H12" s="2809"/>
      <c r="I12" s="2809"/>
      <c r="J12" s="2809"/>
      <c r="K12" s="2809"/>
      <c r="L12" s="2809"/>
      <c r="M12" s="2809"/>
      <c r="N12" s="2809"/>
      <c r="O12" s="2809"/>
      <c r="P12" s="2809"/>
      <c r="Q12" s="2809"/>
      <c r="R12" s="2809"/>
    </row>
    <row r="13" spans="1:19" ht="21.9" customHeight="1">
      <c r="B13" s="570"/>
      <c r="C13" s="465"/>
      <c r="D13" s="457" t="s">
        <v>746</v>
      </c>
      <c r="E13" s="2585"/>
      <c r="F13" s="2586"/>
      <c r="G13" s="2586"/>
      <c r="H13" s="2586"/>
      <c r="I13" s="2586"/>
      <c r="J13" s="2586"/>
      <c r="K13" s="2586"/>
      <c r="L13" s="2586"/>
      <c r="M13" s="2586"/>
      <c r="N13" s="2586"/>
      <c r="O13" s="2586"/>
      <c r="P13" s="2586"/>
      <c r="Q13" s="2586"/>
      <c r="R13" s="2587"/>
    </row>
    <row r="14" spans="1:19" ht="6.9" customHeight="1" thickBot="1">
      <c r="B14" s="570"/>
      <c r="C14" s="465"/>
    </row>
    <row r="15" spans="1:19" ht="15" thickBot="1">
      <c r="B15" s="2458" t="s">
        <v>747</v>
      </c>
      <c r="C15" s="467"/>
      <c r="D15" s="2464" t="s">
        <v>1103</v>
      </c>
      <c r="E15" s="2465"/>
      <c r="F15" s="2465"/>
      <c r="G15" s="2465"/>
      <c r="H15" s="2465"/>
      <c r="I15" s="2465"/>
      <c r="J15" s="2465"/>
      <c r="K15" s="2466"/>
      <c r="L15" s="442"/>
      <c r="M15" s="442"/>
      <c r="N15" s="442"/>
      <c r="O15" s="442"/>
      <c r="P15" s="442"/>
      <c r="Q15" s="442"/>
      <c r="R15" s="442"/>
    </row>
    <row r="16" spans="1:19" ht="21.75" customHeight="1" thickBot="1">
      <c r="B16" s="2459"/>
      <c r="C16" s="508" t="s">
        <v>698</v>
      </c>
      <c r="D16" s="552" t="s">
        <v>1004</v>
      </c>
      <c r="E16" s="694" t="s">
        <v>784</v>
      </c>
      <c r="F16" s="694" t="s">
        <v>593</v>
      </c>
      <c r="G16" s="694" t="s">
        <v>594</v>
      </c>
      <c r="H16" s="694" t="s">
        <v>595</v>
      </c>
      <c r="I16" s="694" t="s">
        <v>1435</v>
      </c>
      <c r="K16" s="608"/>
      <c r="L16" s="442"/>
      <c r="M16" s="442"/>
      <c r="N16" s="442"/>
      <c r="O16" s="442"/>
      <c r="P16" s="442"/>
      <c r="Q16" s="442"/>
      <c r="R16" s="442"/>
    </row>
    <row r="17" spans="2:18" ht="24.6" thickBot="1">
      <c r="B17" s="2459"/>
      <c r="C17" s="527" t="s">
        <v>906</v>
      </c>
      <c r="D17" s="471" t="s">
        <v>2020</v>
      </c>
      <c r="E17" s="494">
        <v>21</v>
      </c>
      <c r="F17" s="494">
        <v>21</v>
      </c>
      <c r="G17" s="494"/>
      <c r="H17" s="494"/>
      <c r="I17" s="501"/>
      <c r="J17" s="572"/>
      <c r="K17" s="608"/>
      <c r="L17" s="442"/>
      <c r="M17" s="442"/>
      <c r="N17" s="442"/>
      <c r="O17" s="442"/>
      <c r="P17" s="442"/>
      <c r="Q17" s="442"/>
      <c r="R17" s="442"/>
    </row>
    <row r="18" spans="2:18" ht="27.75" customHeight="1" thickBot="1">
      <c r="B18" s="2459"/>
      <c r="C18" s="527" t="s">
        <v>908</v>
      </c>
      <c r="D18" s="471" t="s">
        <v>1582</v>
      </c>
      <c r="E18" s="511">
        <v>5547490828.9999981</v>
      </c>
      <c r="F18" s="511">
        <v>7030000000</v>
      </c>
      <c r="G18" s="511"/>
      <c r="H18" s="511"/>
      <c r="I18" s="532">
        <f>SUM(E18:H18)</f>
        <v>12577490828.999998</v>
      </c>
      <c r="K18" s="608"/>
      <c r="L18" s="442"/>
      <c r="M18" s="442"/>
      <c r="N18" s="442"/>
      <c r="O18" s="442"/>
      <c r="P18" s="442"/>
      <c r="Q18" s="442"/>
      <c r="R18" s="442"/>
    </row>
    <row r="19" spans="2:18" ht="27" customHeight="1" thickBot="1">
      <c r="B19" s="2459"/>
      <c r="C19" s="527" t="s">
        <v>910</v>
      </c>
      <c r="D19" s="471" t="s">
        <v>1648</v>
      </c>
      <c r="E19" s="511">
        <v>5547490828.9999981</v>
      </c>
      <c r="F19" s="511">
        <v>7030000000</v>
      </c>
      <c r="G19" s="511"/>
      <c r="H19" s="511"/>
      <c r="I19" s="532">
        <f>SUM(E19:H19)</f>
        <v>12577490828.999998</v>
      </c>
      <c r="K19" s="608"/>
      <c r="L19" s="442"/>
      <c r="M19" s="442"/>
      <c r="N19" s="442"/>
      <c r="O19" s="442"/>
      <c r="P19" s="442"/>
      <c r="Q19" s="442"/>
      <c r="R19" s="442"/>
    </row>
    <row r="20" spans="2:18">
      <c r="B20" s="2459"/>
      <c r="C20" s="472"/>
      <c r="D20" s="2478"/>
      <c r="E20" s="2479"/>
      <c r="F20" s="2479"/>
      <c r="G20" s="2479"/>
      <c r="H20" s="2479"/>
      <c r="I20" s="2479"/>
      <c r="J20" s="2479"/>
      <c r="K20" s="2480"/>
      <c r="L20" s="442"/>
      <c r="M20" s="442"/>
      <c r="N20" s="442"/>
      <c r="O20" s="442"/>
      <c r="P20" s="442"/>
      <c r="Q20" s="442"/>
      <c r="R20" s="442"/>
    </row>
    <row r="21" spans="2:18" ht="15" thickBot="1">
      <c r="B21" s="2459"/>
      <c r="C21" s="472"/>
      <c r="D21" s="2467" t="s">
        <v>2021</v>
      </c>
      <c r="E21" s="2468"/>
      <c r="F21" s="2468"/>
      <c r="G21" s="2468"/>
      <c r="H21" s="2468"/>
      <c r="I21" s="2468"/>
      <c r="J21" s="2468"/>
      <c r="K21" s="2469"/>
      <c r="L21" s="442"/>
      <c r="M21" s="442"/>
      <c r="N21" s="442"/>
      <c r="O21" s="442"/>
      <c r="P21" s="442"/>
      <c r="Q21" s="442"/>
      <c r="R21" s="442"/>
    </row>
    <row r="22" spans="2:18" ht="23.25" customHeight="1" thickBot="1">
      <c r="B22" s="2459"/>
      <c r="C22" s="2554" t="s">
        <v>698</v>
      </c>
      <c r="D22" s="2654" t="s">
        <v>1023</v>
      </c>
      <c r="E22" s="2709" t="s">
        <v>1439</v>
      </c>
      <c r="F22" s="2711"/>
      <c r="G22" s="2709" t="s">
        <v>1516</v>
      </c>
      <c r="H22" s="2710"/>
      <c r="I22" s="2710"/>
      <c r="J22" s="2711"/>
      <c r="K22" s="692"/>
      <c r="L22" s="442"/>
      <c r="M22" s="442"/>
      <c r="N22" s="442"/>
      <c r="O22" s="442"/>
      <c r="P22" s="442"/>
      <c r="Q22" s="442"/>
      <c r="R22" s="442"/>
    </row>
    <row r="23" spans="2:18" ht="37.5" customHeight="1" thickBot="1">
      <c r="B23" s="2459"/>
      <c r="C23" s="2697"/>
      <c r="D23" s="2708"/>
      <c r="E23" s="691" t="s">
        <v>1440</v>
      </c>
      <c r="F23" s="693" t="s">
        <v>1441</v>
      </c>
      <c r="G23" s="693" t="s">
        <v>1582</v>
      </c>
      <c r="H23" s="693" t="s">
        <v>1114</v>
      </c>
      <c r="I23" s="693" t="s">
        <v>1027</v>
      </c>
      <c r="J23" s="693" t="s">
        <v>1028</v>
      </c>
      <c r="K23" s="951" t="s">
        <v>702</v>
      </c>
      <c r="L23" s="572"/>
      <c r="M23" s="442"/>
      <c r="N23" s="442"/>
      <c r="O23" s="442"/>
      <c r="P23" s="442"/>
      <c r="Q23" s="442"/>
      <c r="R23" s="442"/>
    </row>
    <row r="24" spans="2:18" ht="72" customHeight="1">
      <c r="B24" s="2478"/>
      <c r="C24" s="775">
        <v>1</v>
      </c>
      <c r="D24" s="784" t="s">
        <v>599</v>
      </c>
      <c r="E24" s="771">
        <v>0.5</v>
      </c>
      <c r="F24" s="788">
        <v>1</v>
      </c>
      <c r="G24" s="673">
        <v>120000000</v>
      </c>
      <c r="H24" s="673">
        <v>120000000</v>
      </c>
      <c r="I24" s="673">
        <v>119992470</v>
      </c>
      <c r="J24" s="837">
        <v>106161891</v>
      </c>
      <c r="K24" s="841"/>
      <c r="L24" s="442"/>
      <c r="M24" s="442"/>
      <c r="N24" s="442"/>
      <c r="O24" s="442"/>
      <c r="P24" s="442"/>
      <c r="Q24" s="442"/>
      <c r="R24" s="442"/>
    </row>
    <row r="25" spans="2:18" ht="60" customHeight="1">
      <c r="B25" s="2478"/>
      <c r="C25" s="776">
        <v>2</v>
      </c>
      <c r="D25" s="785" t="s">
        <v>600</v>
      </c>
      <c r="E25" s="772">
        <v>0.75</v>
      </c>
      <c r="F25" s="789">
        <v>1</v>
      </c>
      <c r="G25" s="890">
        <v>120000000</v>
      </c>
      <c r="H25" s="890">
        <v>120000000</v>
      </c>
      <c r="I25" s="890">
        <v>120000000</v>
      </c>
      <c r="J25" s="838">
        <v>8518325</v>
      </c>
      <c r="K25" s="842"/>
      <c r="L25" s="442"/>
      <c r="M25" s="442"/>
      <c r="N25" s="442"/>
      <c r="O25" s="442" t="s">
        <v>618</v>
      </c>
      <c r="P25" s="442"/>
      <c r="Q25" s="442"/>
      <c r="R25" s="442"/>
    </row>
    <row r="26" spans="2:18" ht="48.75" customHeight="1">
      <c r="B26" s="2478"/>
      <c r="C26" s="776">
        <v>3</v>
      </c>
      <c r="D26" s="785" t="s">
        <v>601</v>
      </c>
      <c r="E26" s="772">
        <v>0.49</v>
      </c>
      <c r="F26" s="790">
        <v>1</v>
      </c>
      <c r="G26" s="891">
        <v>300000000</v>
      </c>
      <c r="H26" s="891">
        <v>300000000</v>
      </c>
      <c r="I26" s="891">
        <v>299107530</v>
      </c>
      <c r="J26" s="892">
        <v>261501459</v>
      </c>
      <c r="K26" s="843"/>
      <c r="L26" s="442"/>
      <c r="M26" s="442"/>
      <c r="N26" s="442"/>
      <c r="O26" s="442"/>
      <c r="P26" s="442"/>
      <c r="Q26" s="442"/>
      <c r="R26" s="442"/>
    </row>
    <row r="27" spans="2:18" ht="40.5" customHeight="1">
      <c r="B27" s="2478"/>
      <c r="C27" s="776">
        <v>4</v>
      </c>
      <c r="D27" s="785" t="s">
        <v>602</v>
      </c>
      <c r="E27" s="772">
        <v>0.4</v>
      </c>
      <c r="F27" s="790">
        <v>1</v>
      </c>
      <c r="G27" s="891">
        <v>130000000</v>
      </c>
      <c r="H27" s="891">
        <v>130000000</v>
      </c>
      <c r="I27" s="891">
        <v>130000000</v>
      </c>
      <c r="J27" s="892">
        <v>119066527</v>
      </c>
      <c r="K27" s="844"/>
      <c r="L27" s="442"/>
      <c r="M27" s="442"/>
      <c r="N27" s="442"/>
      <c r="O27" s="442"/>
      <c r="P27" s="442"/>
      <c r="Q27" s="442"/>
      <c r="R27" s="442"/>
    </row>
    <row r="28" spans="2:18" ht="36" customHeight="1">
      <c r="B28" s="2478"/>
      <c r="C28" s="776">
        <v>5</v>
      </c>
      <c r="D28" s="785" t="s">
        <v>603</v>
      </c>
      <c r="E28" s="772">
        <v>0.5</v>
      </c>
      <c r="F28" s="790">
        <v>1</v>
      </c>
      <c r="G28" s="891">
        <v>130000000</v>
      </c>
      <c r="H28" s="891">
        <v>130000000</v>
      </c>
      <c r="I28" s="891">
        <v>130000000</v>
      </c>
      <c r="J28" s="892">
        <v>120658001</v>
      </c>
      <c r="K28" s="844"/>
      <c r="L28" s="442"/>
      <c r="M28" s="442"/>
      <c r="N28" s="442"/>
      <c r="O28" s="442"/>
      <c r="P28" s="442"/>
      <c r="Q28" s="442"/>
      <c r="R28" s="442"/>
    </row>
    <row r="29" spans="2:18" ht="57.75" customHeight="1">
      <c r="B29" s="2478"/>
      <c r="C29" s="776">
        <v>6</v>
      </c>
      <c r="D29" s="785" t="s">
        <v>604</v>
      </c>
      <c r="E29" s="772">
        <v>0.5</v>
      </c>
      <c r="F29" s="790">
        <v>1</v>
      </c>
      <c r="G29" s="891">
        <v>300000000</v>
      </c>
      <c r="H29" s="891">
        <v>300000000</v>
      </c>
      <c r="I29" s="891">
        <v>292800001</v>
      </c>
      <c r="J29" s="892">
        <v>258253808</v>
      </c>
      <c r="K29" s="845"/>
      <c r="L29" s="442"/>
      <c r="M29" s="442"/>
      <c r="N29" s="442"/>
      <c r="O29" s="442"/>
      <c r="P29" s="442"/>
      <c r="Q29" s="442"/>
      <c r="R29" s="442"/>
    </row>
    <row r="30" spans="2:18" ht="60.75" customHeight="1">
      <c r="B30" s="2478"/>
      <c r="C30" s="776">
        <v>7</v>
      </c>
      <c r="D30" s="785" t="s">
        <v>605</v>
      </c>
      <c r="E30" s="772">
        <v>0.5</v>
      </c>
      <c r="F30" s="790">
        <v>1</v>
      </c>
      <c r="G30" s="893">
        <v>200000000</v>
      </c>
      <c r="H30" s="893">
        <v>200000000</v>
      </c>
      <c r="I30" s="893">
        <v>200000000</v>
      </c>
      <c r="J30" s="894">
        <v>194200372</v>
      </c>
      <c r="K30" s="845"/>
      <c r="L30" s="442"/>
      <c r="M30" s="442"/>
      <c r="N30" s="442"/>
      <c r="O30" s="442"/>
      <c r="P30" s="442"/>
      <c r="Q30" s="442"/>
      <c r="R30" s="442"/>
    </row>
    <row r="31" spans="2:18" ht="60" customHeight="1">
      <c r="B31" s="2478"/>
      <c r="C31" s="776">
        <v>8</v>
      </c>
      <c r="D31" s="785" t="s">
        <v>606</v>
      </c>
      <c r="E31" s="772">
        <v>0.53</v>
      </c>
      <c r="F31" s="790">
        <v>1</v>
      </c>
      <c r="G31" s="895">
        <v>600000000</v>
      </c>
      <c r="H31" s="895">
        <v>600000000</v>
      </c>
      <c r="I31" s="895">
        <v>600000000</v>
      </c>
      <c r="J31" s="896">
        <v>536072989</v>
      </c>
      <c r="K31" s="844"/>
      <c r="L31" s="442"/>
      <c r="M31" s="442"/>
      <c r="N31" s="442"/>
      <c r="O31" s="442"/>
      <c r="P31" s="442"/>
      <c r="Q31" s="442"/>
      <c r="R31" s="442"/>
    </row>
    <row r="32" spans="2:18" ht="55.5" customHeight="1">
      <c r="B32" s="2478"/>
      <c r="C32" s="776">
        <v>9</v>
      </c>
      <c r="D32" s="785" t="s">
        <v>607</v>
      </c>
      <c r="E32" s="772">
        <v>0.52</v>
      </c>
      <c r="F32" s="790">
        <v>1</v>
      </c>
      <c r="G32" s="897">
        <v>1150000000</v>
      </c>
      <c r="H32" s="897">
        <v>1150000000</v>
      </c>
      <c r="I32" s="897">
        <v>1142000000</v>
      </c>
      <c r="J32" s="898">
        <v>1084628073</v>
      </c>
      <c r="K32" s="846"/>
      <c r="L32" s="442"/>
      <c r="M32" s="442"/>
      <c r="N32" s="442"/>
      <c r="O32" s="442"/>
      <c r="P32" s="442"/>
      <c r="Q32" s="442"/>
      <c r="R32" s="442"/>
    </row>
    <row r="33" spans="2:18" ht="45.75" customHeight="1">
      <c r="B33" s="2478"/>
      <c r="C33" s="776">
        <v>10</v>
      </c>
      <c r="D33" s="785" t="s">
        <v>608</v>
      </c>
      <c r="E33" s="773">
        <v>0.5</v>
      </c>
      <c r="F33" s="790">
        <v>1</v>
      </c>
      <c r="G33" s="899">
        <v>480000000</v>
      </c>
      <c r="H33" s="899">
        <v>480000000</v>
      </c>
      <c r="I33" s="899">
        <v>480000000</v>
      </c>
      <c r="J33" s="900">
        <v>455088378</v>
      </c>
      <c r="K33" s="847"/>
      <c r="L33" s="442"/>
      <c r="M33" s="442"/>
      <c r="N33" s="442"/>
      <c r="O33" s="442"/>
      <c r="P33" s="442"/>
      <c r="Q33" s="442"/>
      <c r="R33" s="442"/>
    </row>
    <row r="34" spans="2:18" ht="39" customHeight="1">
      <c r="B34" s="2478"/>
      <c r="C34" s="776">
        <v>11</v>
      </c>
      <c r="D34" s="785" t="s">
        <v>609</v>
      </c>
      <c r="E34" s="774">
        <v>0.75</v>
      </c>
      <c r="F34" s="790">
        <v>1</v>
      </c>
      <c r="G34" s="672">
        <v>410000000</v>
      </c>
      <c r="H34" s="672">
        <v>410000000</v>
      </c>
      <c r="I34" s="672">
        <v>410000000</v>
      </c>
      <c r="J34" s="839">
        <v>30110763</v>
      </c>
      <c r="K34" s="846"/>
      <c r="L34" s="442"/>
      <c r="M34" s="442"/>
      <c r="N34" s="442"/>
      <c r="O34" s="442"/>
      <c r="P34" s="442"/>
      <c r="Q34" s="442"/>
      <c r="R34" s="442"/>
    </row>
    <row r="35" spans="2:18" ht="42" customHeight="1">
      <c r="B35" s="2478"/>
      <c r="C35" s="776">
        <v>12</v>
      </c>
      <c r="D35" s="785" t="s">
        <v>610</v>
      </c>
      <c r="E35" s="774">
        <v>0.5</v>
      </c>
      <c r="F35" s="790">
        <v>1</v>
      </c>
      <c r="G35" s="672">
        <v>290000000</v>
      </c>
      <c r="H35" s="672">
        <v>290000000</v>
      </c>
      <c r="I35" s="672">
        <v>290000000</v>
      </c>
      <c r="J35" s="839">
        <v>242720354</v>
      </c>
      <c r="K35" s="844"/>
      <c r="L35" s="442"/>
      <c r="M35" s="442"/>
      <c r="N35" s="442"/>
      <c r="O35" s="442"/>
      <c r="P35" s="442"/>
      <c r="Q35" s="442"/>
      <c r="R35" s="442"/>
    </row>
    <row r="36" spans="2:18" ht="42" customHeight="1">
      <c r="B36" s="2478"/>
      <c r="C36" s="776">
        <v>13</v>
      </c>
      <c r="D36" s="786" t="s">
        <v>611</v>
      </c>
      <c r="E36" s="772">
        <v>0.5</v>
      </c>
      <c r="F36" s="790">
        <v>1</v>
      </c>
      <c r="G36" s="901">
        <v>140000000</v>
      </c>
      <c r="H36" s="901">
        <v>140000000</v>
      </c>
      <c r="I36" s="901">
        <v>140000000</v>
      </c>
      <c r="J36" s="894">
        <v>131368615</v>
      </c>
      <c r="K36" s="844"/>
      <c r="L36" s="442"/>
      <c r="M36" s="442"/>
      <c r="N36" s="442"/>
      <c r="O36" s="442"/>
      <c r="P36" s="442"/>
      <c r="Q36" s="442"/>
      <c r="R36" s="442"/>
    </row>
    <row r="37" spans="2:18" ht="33.75" customHeight="1">
      <c r="B37" s="2478"/>
      <c r="C37" s="776">
        <v>14</v>
      </c>
      <c r="D37" s="786" t="s">
        <v>612</v>
      </c>
      <c r="E37" s="772">
        <v>0.5</v>
      </c>
      <c r="F37" s="790">
        <v>1</v>
      </c>
      <c r="G37" s="891">
        <v>450000000</v>
      </c>
      <c r="H37" s="891">
        <v>450000000</v>
      </c>
      <c r="I37" s="891">
        <v>446000000</v>
      </c>
      <c r="J37" s="902">
        <v>287464690</v>
      </c>
      <c r="K37" s="844"/>
      <c r="L37" s="442"/>
      <c r="M37" s="442"/>
      <c r="N37" s="442"/>
      <c r="O37" s="442"/>
      <c r="P37" s="442"/>
      <c r="Q37" s="442"/>
      <c r="R37" s="442"/>
    </row>
    <row r="38" spans="2:18" ht="43.5" customHeight="1">
      <c r="B38" s="2478"/>
      <c r="C38" s="776">
        <v>15</v>
      </c>
      <c r="D38" s="785" t="s">
        <v>613</v>
      </c>
      <c r="E38" s="772">
        <v>0.5</v>
      </c>
      <c r="F38" s="790">
        <v>1</v>
      </c>
      <c r="G38" s="899">
        <v>290000000</v>
      </c>
      <c r="H38" s="899">
        <v>290000000</v>
      </c>
      <c r="I38" s="899">
        <v>290000000</v>
      </c>
      <c r="J38" s="903">
        <v>221290538</v>
      </c>
      <c r="K38" s="844"/>
      <c r="L38" s="442"/>
      <c r="M38" s="442"/>
      <c r="N38" s="442"/>
      <c r="O38" s="442"/>
      <c r="P38" s="442"/>
      <c r="Q38" s="442"/>
      <c r="R38" s="442"/>
    </row>
    <row r="39" spans="2:18" ht="30.6">
      <c r="B39" s="2478"/>
      <c r="C39" s="776">
        <v>16</v>
      </c>
      <c r="D39" s="785" t="s">
        <v>614</v>
      </c>
      <c r="E39" s="772">
        <v>1</v>
      </c>
      <c r="F39" s="790">
        <v>1</v>
      </c>
      <c r="G39" s="899">
        <v>270000000</v>
      </c>
      <c r="H39" s="899">
        <v>270000000</v>
      </c>
      <c r="I39" s="899">
        <v>270000000</v>
      </c>
      <c r="J39" s="904">
        <v>19770502</v>
      </c>
      <c r="K39" s="848"/>
      <c r="L39" s="442"/>
      <c r="M39" s="442"/>
      <c r="N39" s="442"/>
      <c r="O39" s="442"/>
      <c r="P39" s="442"/>
      <c r="Q39" s="442"/>
      <c r="R39" s="442"/>
    </row>
    <row r="40" spans="2:18" ht="40.5" customHeight="1">
      <c r="B40" s="2478"/>
      <c r="C40" s="776">
        <v>17</v>
      </c>
      <c r="D40" s="785" t="s">
        <v>615</v>
      </c>
      <c r="E40" s="772">
        <v>0.5</v>
      </c>
      <c r="F40" s="790">
        <v>1</v>
      </c>
      <c r="G40" s="899">
        <v>210000000</v>
      </c>
      <c r="H40" s="899">
        <v>210000000</v>
      </c>
      <c r="I40" s="899">
        <v>210000000</v>
      </c>
      <c r="J40" s="903">
        <v>15410389</v>
      </c>
      <c r="K40" s="846"/>
      <c r="L40" s="442"/>
      <c r="M40" s="442"/>
      <c r="N40" s="442"/>
      <c r="O40" s="442"/>
      <c r="P40" s="442"/>
      <c r="Q40" s="442"/>
      <c r="R40" s="442"/>
    </row>
    <row r="41" spans="2:18" ht="54.75" customHeight="1">
      <c r="B41" s="2478"/>
      <c r="C41" s="776">
        <v>18</v>
      </c>
      <c r="D41" s="785" t="s">
        <v>616</v>
      </c>
      <c r="E41" s="772">
        <v>0.5</v>
      </c>
      <c r="F41" s="790">
        <v>1</v>
      </c>
      <c r="G41" s="899">
        <v>560000000</v>
      </c>
      <c r="H41" s="899">
        <v>560000000</v>
      </c>
      <c r="I41" s="899">
        <v>560000000</v>
      </c>
      <c r="J41" s="904">
        <v>173799775</v>
      </c>
      <c r="K41" s="848"/>
      <c r="L41" s="442"/>
      <c r="M41" s="442"/>
      <c r="N41" s="442"/>
      <c r="O41" s="442"/>
      <c r="P41" s="442"/>
      <c r="Q41" s="442"/>
      <c r="R41" s="442"/>
    </row>
    <row r="42" spans="2:18" ht="68.25" customHeight="1">
      <c r="B42" s="2478"/>
      <c r="C42" s="776">
        <v>19</v>
      </c>
      <c r="D42" s="785" t="s">
        <v>617</v>
      </c>
      <c r="E42" s="772">
        <v>0.5</v>
      </c>
      <c r="F42" s="790">
        <v>1</v>
      </c>
      <c r="G42" s="899">
        <v>560000000</v>
      </c>
      <c r="H42" s="899">
        <v>560000000</v>
      </c>
      <c r="I42" s="899">
        <v>560000000</v>
      </c>
      <c r="J42" s="904">
        <v>540769775</v>
      </c>
      <c r="K42" s="849"/>
      <c r="L42" s="442"/>
      <c r="M42" s="442"/>
      <c r="N42" s="442"/>
      <c r="O42" s="442"/>
      <c r="P42" s="442"/>
      <c r="Q42" s="442"/>
      <c r="R42" s="442"/>
    </row>
    <row r="43" spans="2:18" ht="40.799999999999997">
      <c r="B43" s="2478"/>
      <c r="C43" s="776">
        <v>20</v>
      </c>
      <c r="D43" s="785" t="s">
        <v>619</v>
      </c>
      <c r="E43" s="772">
        <v>0.5</v>
      </c>
      <c r="F43" s="790">
        <v>1</v>
      </c>
      <c r="G43" s="899">
        <v>120000000</v>
      </c>
      <c r="H43" s="899">
        <v>120000000</v>
      </c>
      <c r="I43" s="899">
        <v>120000000</v>
      </c>
      <c r="J43" s="904">
        <v>8745071</v>
      </c>
      <c r="K43" s="844"/>
      <c r="L43" s="442"/>
      <c r="M43" s="442"/>
      <c r="N43" s="442"/>
      <c r="O43" s="442"/>
      <c r="P43" s="442"/>
      <c r="Q43" s="442"/>
      <c r="R43" s="442"/>
    </row>
    <row r="44" spans="2:18" ht="46.5" customHeight="1" thickBot="1">
      <c r="B44" s="2478"/>
      <c r="C44" s="776">
        <v>21</v>
      </c>
      <c r="D44" s="787" t="s">
        <v>620</v>
      </c>
      <c r="E44" s="772">
        <v>0.5</v>
      </c>
      <c r="F44" s="790">
        <v>1</v>
      </c>
      <c r="G44" s="905">
        <v>200000000</v>
      </c>
      <c r="H44" s="905">
        <v>200000000</v>
      </c>
      <c r="I44" s="905">
        <v>200000000</v>
      </c>
      <c r="J44" s="906">
        <v>14198281</v>
      </c>
      <c r="K44" s="844"/>
      <c r="L44" s="442"/>
      <c r="M44" s="442"/>
      <c r="N44" s="442"/>
      <c r="O44" s="442"/>
      <c r="P44" s="442"/>
      <c r="Q44" s="442"/>
      <c r="R44" s="442"/>
    </row>
    <row r="45" spans="2:18" s="461" customFormat="1" ht="24" customHeight="1" thickBot="1">
      <c r="B45" s="2459"/>
      <c r="C45" s="770"/>
      <c r="D45" s="671" t="s">
        <v>905</v>
      </c>
      <c r="E45" s="670"/>
      <c r="F45" s="671"/>
      <c r="G45" s="563">
        <f>SUM(G24:G44)</f>
        <v>7030000000</v>
      </c>
      <c r="H45" s="563">
        <f>SUM(H24:H44)</f>
        <v>7030000000</v>
      </c>
      <c r="I45" s="563">
        <f>SUM(I24:I44)</f>
        <v>7009900001</v>
      </c>
      <c r="J45" s="840">
        <f>SUM(J24:J44)</f>
        <v>4829798576</v>
      </c>
      <c r="K45" s="850"/>
      <c r="L45" s="564"/>
      <c r="M45" s="564"/>
      <c r="N45" s="564"/>
      <c r="O45" s="564"/>
      <c r="P45" s="564"/>
      <c r="Q45" s="564"/>
      <c r="R45" s="564"/>
    </row>
    <row r="46" spans="2:18">
      <c r="B46" s="2459"/>
      <c r="C46" s="472"/>
      <c r="D46" s="2478" t="s">
        <v>1654</v>
      </c>
      <c r="E46" s="2479"/>
      <c r="F46" s="2479"/>
      <c r="G46" s="2479"/>
      <c r="H46" s="2479"/>
      <c r="I46" s="2479"/>
      <c r="J46" s="2479"/>
      <c r="K46" s="2480"/>
      <c r="L46" s="442"/>
      <c r="M46" s="442"/>
      <c r="N46" s="442"/>
      <c r="O46" s="442"/>
      <c r="P46" s="442"/>
      <c r="Q46" s="442"/>
      <c r="R46" s="442"/>
    </row>
    <row r="47" spans="2:18" ht="15" thickBot="1">
      <c r="B47" s="2459"/>
      <c r="C47" s="472"/>
      <c r="D47" s="2478" t="s">
        <v>2022</v>
      </c>
      <c r="E47" s="2479"/>
      <c r="F47" s="2479"/>
      <c r="G47" s="2479"/>
      <c r="H47" s="2479"/>
      <c r="I47" s="2479"/>
      <c r="J47" s="2479"/>
      <c r="K47" s="2480"/>
      <c r="L47" s="442"/>
      <c r="M47" s="442"/>
      <c r="N47" s="442"/>
      <c r="O47" s="442"/>
      <c r="P47" s="442"/>
      <c r="Q47" s="442"/>
      <c r="R47" s="442"/>
    </row>
    <row r="48" spans="2:18" ht="15" thickBot="1">
      <c r="B48" s="2459"/>
      <c r="C48" s="2554" t="s">
        <v>698</v>
      </c>
      <c r="D48" s="2551" t="s">
        <v>1526</v>
      </c>
      <c r="E48" s="473" t="s">
        <v>1656</v>
      </c>
      <c r="F48" s="2800" t="s">
        <v>1527</v>
      </c>
      <c r="G48" s="2801"/>
      <c r="H48" s="2553"/>
      <c r="I48" s="2554"/>
      <c r="K48" s="608"/>
      <c r="L48" s="442"/>
      <c r="M48" s="442"/>
      <c r="N48" s="442"/>
      <c r="O48" s="442"/>
      <c r="P48" s="442"/>
      <c r="Q48" s="442"/>
      <c r="R48" s="442"/>
    </row>
    <row r="49" spans="2:18" ht="15" customHeight="1">
      <c r="B49" s="2459"/>
      <c r="C49" s="2697"/>
      <c r="D49" s="2789"/>
      <c r="E49" s="2559" t="s">
        <v>2023</v>
      </c>
      <c r="F49" s="2559" t="s">
        <v>1528</v>
      </c>
      <c r="G49" s="468" t="s">
        <v>1529</v>
      </c>
      <c r="H49" s="2553" t="s">
        <v>702</v>
      </c>
      <c r="I49" s="2554"/>
      <c r="K49" s="608"/>
      <c r="L49" s="442"/>
      <c r="M49" s="442"/>
      <c r="N49" s="442"/>
      <c r="O49" s="442"/>
      <c r="P49" s="442"/>
      <c r="Q49" s="442"/>
      <c r="R49" s="442"/>
    </row>
    <row r="50" spans="2:18" ht="15" thickBot="1">
      <c r="B50" s="2459"/>
      <c r="C50" s="2556"/>
      <c r="D50" s="2552"/>
      <c r="E50" s="2560"/>
      <c r="F50" s="2560"/>
      <c r="G50" s="152" t="s">
        <v>1517</v>
      </c>
      <c r="H50" s="2555"/>
      <c r="I50" s="2556"/>
      <c r="K50" s="608"/>
      <c r="L50" s="442"/>
      <c r="M50" s="442"/>
      <c r="N50" s="442"/>
      <c r="O50" s="442"/>
      <c r="P50" s="442"/>
      <c r="Q50" s="442"/>
      <c r="R50" s="442"/>
    </row>
    <row r="51" spans="2:18" ht="15" thickBot="1">
      <c r="B51" s="2459"/>
      <c r="C51" s="152">
        <v>1</v>
      </c>
      <c r="D51" s="448">
        <v>0.05</v>
      </c>
      <c r="E51" s="791">
        <v>0.25</v>
      </c>
      <c r="F51" s="523">
        <f>IFERROR(I24/H24,0)</f>
        <v>0.99993725</v>
      </c>
      <c r="G51" s="523">
        <f>IFERROR(J24/I24,0)</f>
        <v>0.88473794230587965</v>
      </c>
      <c r="H51" s="2783"/>
      <c r="I51" s="2784"/>
      <c r="J51" s="566"/>
      <c r="K51" s="608"/>
      <c r="L51" s="442"/>
      <c r="M51" s="442"/>
      <c r="N51" s="442"/>
      <c r="O51" s="442"/>
      <c r="P51" s="442"/>
      <c r="Q51" s="442"/>
      <c r="R51" s="442"/>
    </row>
    <row r="52" spans="2:18" ht="15" thickBot="1">
      <c r="B52" s="2459"/>
      <c r="C52" s="152">
        <v>2</v>
      </c>
      <c r="D52" s="448">
        <v>0.05</v>
      </c>
      <c r="E52" s="792">
        <v>0.25</v>
      </c>
      <c r="F52" s="523">
        <f>IFERROR(I25/H25,0)</f>
        <v>1</v>
      </c>
      <c r="G52" s="523">
        <f>IFERROR(J25/I25,0)</f>
        <v>7.0986041666666666E-2</v>
      </c>
      <c r="H52" s="2783"/>
      <c r="I52" s="2784"/>
      <c r="J52" s="566"/>
      <c r="K52" s="608"/>
      <c r="L52" s="442"/>
      <c r="M52" s="442"/>
      <c r="N52" s="442"/>
      <c r="O52" s="442"/>
      <c r="P52" s="442"/>
      <c r="Q52" s="442"/>
      <c r="R52" s="442"/>
    </row>
    <row r="53" spans="2:18" ht="15" thickBot="1">
      <c r="B53" s="2459"/>
      <c r="C53" s="152">
        <v>3</v>
      </c>
      <c r="D53" s="448">
        <v>0.05</v>
      </c>
      <c r="E53" s="793">
        <v>0.18796992481203006</v>
      </c>
      <c r="F53" s="523">
        <v>1</v>
      </c>
      <c r="G53" s="523">
        <f>IFERROR(#REF!/#REF!,0)</f>
        <v>0</v>
      </c>
      <c r="H53" s="2783"/>
      <c r="I53" s="2784"/>
      <c r="J53" s="566"/>
      <c r="K53" s="608"/>
      <c r="L53" s="442"/>
      <c r="M53" s="442"/>
      <c r="N53" s="442"/>
      <c r="O53" s="442"/>
      <c r="P53" s="442"/>
      <c r="Q53" s="442"/>
      <c r="R53" s="442"/>
    </row>
    <row r="54" spans="2:18" ht="15" thickBot="1">
      <c r="B54" s="2459"/>
      <c r="C54" s="152">
        <v>4</v>
      </c>
      <c r="D54" s="448">
        <v>0.05</v>
      </c>
      <c r="E54" s="793">
        <v>0.1</v>
      </c>
      <c r="F54" s="523">
        <f t="shared" ref="F54:F71" si="0">IFERROR(I26/H26,0)</f>
        <v>0.9970251</v>
      </c>
      <c r="G54" s="523">
        <f t="shared" ref="G54:G71" si="1">IFERROR(J26/I26,0)</f>
        <v>0.87427240297160025</v>
      </c>
      <c r="H54" s="2783"/>
      <c r="I54" s="2784"/>
      <c r="J54" s="566"/>
      <c r="K54" s="608"/>
      <c r="L54" s="442"/>
      <c r="M54" s="442"/>
      <c r="N54" s="442"/>
      <c r="O54" s="442"/>
      <c r="P54" s="442"/>
      <c r="Q54" s="442"/>
      <c r="R54" s="442"/>
    </row>
    <row r="55" spans="2:18" ht="15" thickBot="1">
      <c r="B55" s="2459"/>
      <c r="C55" s="152">
        <v>5</v>
      </c>
      <c r="D55" s="448">
        <v>0.05</v>
      </c>
      <c r="E55" s="793">
        <v>0.25</v>
      </c>
      <c r="F55" s="523">
        <f t="shared" si="0"/>
        <v>1</v>
      </c>
      <c r="G55" s="523">
        <f t="shared" si="1"/>
        <v>0.91589636153846155</v>
      </c>
      <c r="H55" s="2783"/>
      <c r="I55" s="2784"/>
      <c r="J55" s="566"/>
      <c r="K55" s="608"/>
      <c r="L55" s="442"/>
      <c r="M55" s="442"/>
      <c r="N55" s="442"/>
      <c r="O55" s="442"/>
      <c r="P55" s="442"/>
      <c r="Q55" s="442"/>
      <c r="R55" s="442"/>
    </row>
    <row r="56" spans="2:18" ht="15" thickBot="1">
      <c r="B56" s="2459"/>
      <c r="C56" s="152">
        <v>6</v>
      </c>
      <c r="D56" s="448">
        <v>0.05</v>
      </c>
      <c r="E56" s="793">
        <v>0.33333333333333331</v>
      </c>
      <c r="F56" s="523">
        <f t="shared" si="0"/>
        <v>1</v>
      </c>
      <c r="G56" s="523">
        <f t="shared" si="1"/>
        <v>0.92813846923076926</v>
      </c>
      <c r="H56" s="2783"/>
      <c r="I56" s="2784"/>
      <c r="J56" s="566"/>
      <c r="K56" s="608"/>
      <c r="L56" s="442"/>
      <c r="M56" s="442"/>
      <c r="N56" s="442"/>
      <c r="O56" s="442"/>
      <c r="P56" s="442"/>
      <c r="Q56" s="442"/>
      <c r="R56" s="442"/>
    </row>
    <row r="57" spans="2:18" ht="15" thickBot="1">
      <c r="B57" s="2459"/>
      <c r="C57" s="152">
        <v>7</v>
      </c>
      <c r="D57" s="448">
        <v>0.05</v>
      </c>
      <c r="E57" s="793">
        <v>0.25</v>
      </c>
      <c r="F57" s="523">
        <f t="shared" si="0"/>
        <v>0.97600000333333337</v>
      </c>
      <c r="G57" s="523">
        <f t="shared" si="1"/>
        <v>0.88201436857235527</v>
      </c>
      <c r="H57" s="2783"/>
      <c r="I57" s="2784"/>
      <c r="J57" s="566"/>
      <c r="K57" s="608"/>
      <c r="L57" s="442"/>
      <c r="M57" s="442"/>
      <c r="N57" s="442"/>
      <c r="O57" s="442"/>
      <c r="P57" s="442"/>
      <c r="Q57" s="442"/>
      <c r="R57" s="442"/>
    </row>
    <row r="58" spans="2:18" ht="20.25" customHeight="1" thickBot="1">
      <c r="B58" s="2459"/>
      <c r="C58" s="152">
        <v>8</v>
      </c>
      <c r="D58" s="448">
        <v>0.04</v>
      </c>
      <c r="E58" s="792">
        <v>0.25</v>
      </c>
      <c r="F58" s="523">
        <f t="shared" si="0"/>
        <v>1</v>
      </c>
      <c r="G58" s="523">
        <f t="shared" si="1"/>
        <v>0.97100185999999999</v>
      </c>
      <c r="H58" s="2785"/>
      <c r="I58" s="2786"/>
      <c r="J58" s="566"/>
      <c r="K58" s="608"/>
      <c r="L58" s="442"/>
      <c r="M58" s="442"/>
      <c r="N58" s="442"/>
      <c r="O58" s="442"/>
      <c r="P58" s="442"/>
      <c r="Q58" s="442"/>
      <c r="R58" s="442"/>
    </row>
    <row r="59" spans="2:18" ht="15" thickBot="1">
      <c r="B59" s="2459"/>
      <c r="C59" s="152">
        <v>9</v>
      </c>
      <c r="D59" s="448">
        <v>0.05</v>
      </c>
      <c r="E59" s="794">
        <v>0.25</v>
      </c>
      <c r="F59" s="523">
        <f t="shared" si="0"/>
        <v>1</v>
      </c>
      <c r="G59" s="523">
        <f t="shared" si="1"/>
        <v>0.8934549816666667</v>
      </c>
      <c r="H59" s="2783"/>
      <c r="I59" s="2784"/>
      <c r="J59" s="566"/>
      <c r="K59" s="608"/>
      <c r="L59" s="442"/>
      <c r="M59" s="442"/>
      <c r="N59" s="442"/>
      <c r="O59" s="442"/>
      <c r="P59" s="442"/>
      <c r="Q59" s="442"/>
      <c r="R59" s="442"/>
    </row>
    <row r="60" spans="2:18" ht="15" thickBot="1">
      <c r="B60" s="2459"/>
      <c r="C60" s="152">
        <v>10</v>
      </c>
      <c r="D60" s="448">
        <v>0.05</v>
      </c>
      <c r="E60" s="795">
        <v>0.25</v>
      </c>
      <c r="F60" s="523">
        <f t="shared" si="0"/>
        <v>0.99304347826086958</v>
      </c>
      <c r="G60" s="523">
        <f t="shared" si="1"/>
        <v>0.94976188528896677</v>
      </c>
      <c r="H60" s="2783"/>
      <c r="I60" s="2784"/>
      <c r="J60" s="566"/>
      <c r="K60" s="608"/>
      <c r="L60" s="442"/>
      <c r="M60" s="442"/>
      <c r="N60" s="442"/>
      <c r="O60" s="442"/>
      <c r="P60" s="442"/>
      <c r="Q60" s="442"/>
      <c r="R60" s="442"/>
    </row>
    <row r="61" spans="2:18" ht="15" thickBot="1">
      <c r="B61" s="2459"/>
      <c r="C61" s="152">
        <v>11</v>
      </c>
      <c r="D61" s="448">
        <v>0.05</v>
      </c>
      <c r="E61" s="794">
        <v>0.25</v>
      </c>
      <c r="F61" s="523">
        <f t="shared" si="0"/>
        <v>1</v>
      </c>
      <c r="G61" s="523">
        <f t="shared" si="1"/>
        <v>0.94810078750000004</v>
      </c>
      <c r="H61" s="2783"/>
      <c r="I61" s="2784"/>
      <c r="J61" s="566"/>
      <c r="K61" s="608"/>
      <c r="L61" s="442"/>
      <c r="M61" s="442"/>
      <c r="N61" s="442"/>
      <c r="O61" s="442"/>
      <c r="P61" s="442"/>
      <c r="Q61" s="442"/>
      <c r="R61" s="442"/>
    </row>
    <row r="62" spans="2:18" ht="15" thickBot="1">
      <c r="B62" s="2459"/>
      <c r="C62" s="152">
        <v>12</v>
      </c>
      <c r="D62" s="448">
        <v>0.05</v>
      </c>
      <c r="E62" s="794">
        <v>0.25</v>
      </c>
      <c r="F62" s="523">
        <f t="shared" si="0"/>
        <v>1</v>
      </c>
      <c r="G62" s="523">
        <f t="shared" si="1"/>
        <v>7.3440885365853664E-2</v>
      </c>
      <c r="H62" s="2783"/>
      <c r="I62" s="2784"/>
      <c r="J62" s="566"/>
      <c r="K62" s="608"/>
      <c r="L62" s="442"/>
      <c r="M62" s="442"/>
      <c r="N62" s="442"/>
      <c r="O62" s="442"/>
      <c r="P62" s="442"/>
      <c r="Q62" s="442"/>
      <c r="R62" s="442"/>
    </row>
    <row r="63" spans="2:18" ht="15" thickBot="1">
      <c r="B63" s="2459"/>
      <c r="C63" s="152">
        <v>13</v>
      </c>
      <c r="D63" s="448">
        <v>0.05</v>
      </c>
      <c r="E63" s="794">
        <v>0.25</v>
      </c>
      <c r="F63" s="523">
        <f t="shared" si="0"/>
        <v>1</v>
      </c>
      <c r="G63" s="523">
        <f t="shared" si="1"/>
        <v>0.83696673793103449</v>
      </c>
      <c r="H63" s="2783"/>
      <c r="I63" s="2784"/>
      <c r="J63" s="566"/>
      <c r="K63" s="608"/>
      <c r="L63" s="442"/>
      <c r="M63" s="442"/>
      <c r="N63" s="442"/>
      <c r="O63" s="442"/>
      <c r="P63" s="442"/>
      <c r="Q63" s="442"/>
      <c r="R63" s="442"/>
    </row>
    <row r="64" spans="2:18" ht="15" thickBot="1">
      <c r="B64" s="2459"/>
      <c r="C64" s="152">
        <v>14</v>
      </c>
      <c r="D64" s="448">
        <v>0.05</v>
      </c>
      <c r="E64" s="794">
        <v>0.25</v>
      </c>
      <c r="F64" s="523">
        <f t="shared" si="0"/>
        <v>1</v>
      </c>
      <c r="G64" s="523">
        <f t="shared" si="1"/>
        <v>0.93834724999999997</v>
      </c>
      <c r="H64" s="2783"/>
      <c r="I64" s="2784"/>
      <c r="J64" s="566"/>
      <c r="K64" s="608"/>
      <c r="L64" s="442"/>
      <c r="M64" s="442"/>
      <c r="N64" s="442"/>
      <c r="O64" s="442"/>
      <c r="P64" s="442"/>
      <c r="Q64" s="442"/>
      <c r="R64" s="442"/>
    </row>
    <row r="65" spans="2:18" ht="15" thickBot="1">
      <c r="B65" s="2459"/>
      <c r="C65" s="152">
        <v>15</v>
      </c>
      <c r="D65" s="448">
        <v>0.04</v>
      </c>
      <c r="E65" s="794">
        <v>0.25</v>
      </c>
      <c r="F65" s="523">
        <f t="shared" si="0"/>
        <v>0.99111111111111116</v>
      </c>
      <c r="G65" s="523">
        <f t="shared" si="1"/>
        <v>0.64453966367713</v>
      </c>
      <c r="H65" s="2783"/>
      <c r="I65" s="2784"/>
      <c r="J65" s="566"/>
      <c r="K65" s="608"/>
      <c r="L65" s="442"/>
      <c r="M65" s="442"/>
      <c r="N65" s="442"/>
      <c r="O65" s="442"/>
      <c r="P65" s="442"/>
      <c r="Q65" s="442"/>
      <c r="R65" s="442"/>
    </row>
    <row r="66" spans="2:18" ht="15" thickBot="1">
      <c r="B66" s="2459"/>
      <c r="C66" s="152">
        <v>16</v>
      </c>
      <c r="D66" s="448">
        <v>0.04</v>
      </c>
      <c r="E66" s="794">
        <v>0.25</v>
      </c>
      <c r="F66" s="523">
        <f t="shared" si="0"/>
        <v>1</v>
      </c>
      <c r="G66" s="523">
        <f t="shared" si="1"/>
        <v>0.76307082068965515</v>
      </c>
      <c r="H66" s="2783"/>
      <c r="I66" s="2784"/>
      <c r="J66" s="566"/>
      <c r="K66" s="608"/>
      <c r="L66" s="442"/>
      <c r="M66" s="442"/>
      <c r="N66" s="442"/>
      <c r="O66" s="442"/>
      <c r="P66" s="442"/>
      <c r="Q66" s="442"/>
      <c r="R66" s="442"/>
    </row>
    <row r="67" spans="2:18" ht="15" thickBot="1">
      <c r="B67" s="2459"/>
      <c r="C67" s="152">
        <v>17</v>
      </c>
      <c r="D67" s="448">
        <v>0.05</v>
      </c>
      <c r="E67" s="794">
        <v>0.25</v>
      </c>
      <c r="F67" s="523">
        <f t="shared" si="0"/>
        <v>1</v>
      </c>
      <c r="G67" s="523">
        <f t="shared" si="1"/>
        <v>7.3224081481481476E-2</v>
      </c>
      <c r="H67" s="2783"/>
      <c r="I67" s="2784"/>
      <c r="J67" s="566"/>
      <c r="K67" s="608"/>
      <c r="L67" s="442"/>
      <c r="M67" s="442"/>
      <c r="N67" s="442"/>
      <c r="O67" s="442"/>
      <c r="P67" s="442"/>
      <c r="Q67" s="442"/>
      <c r="R67" s="442"/>
    </row>
    <row r="68" spans="2:18" ht="15" thickBot="1">
      <c r="B68" s="2459"/>
      <c r="C68" s="152">
        <v>18</v>
      </c>
      <c r="D68" s="448">
        <v>0.04</v>
      </c>
      <c r="E68" s="794">
        <v>0.25</v>
      </c>
      <c r="F68" s="523">
        <f t="shared" si="0"/>
        <v>1</v>
      </c>
      <c r="G68" s="523">
        <f t="shared" si="1"/>
        <v>7.3382804761904757E-2</v>
      </c>
      <c r="H68" s="2783"/>
      <c r="I68" s="2784"/>
      <c r="J68" s="566"/>
      <c r="K68" s="608"/>
      <c r="L68" s="442"/>
      <c r="M68" s="442"/>
      <c r="N68" s="442"/>
      <c r="O68" s="442"/>
      <c r="P68" s="442"/>
      <c r="Q68" s="442"/>
      <c r="R68" s="442"/>
    </row>
    <row r="69" spans="2:18" ht="15" thickBot="1">
      <c r="B69" s="2459"/>
      <c r="C69" s="152">
        <v>19</v>
      </c>
      <c r="D69" s="448">
        <v>0.05</v>
      </c>
      <c r="E69" s="794">
        <v>0.25</v>
      </c>
      <c r="F69" s="523">
        <f t="shared" si="0"/>
        <v>1</v>
      </c>
      <c r="G69" s="523">
        <f t="shared" si="1"/>
        <v>0.31035674107142858</v>
      </c>
      <c r="H69" s="2783"/>
      <c r="I69" s="2784"/>
      <c r="J69" s="566"/>
      <c r="K69" s="608"/>
      <c r="L69" s="442"/>
      <c r="M69" s="442"/>
      <c r="N69" s="442"/>
      <c r="O69" s="442"/>
      <c r="P69" s="442"/>
      <c r="Q69" s="442"/>
      <c r="R69" s="442"/>
    </row>
    <row r="70" spans="2:18" ht="15" thickBot="1">
      <c r="B70" s="2459"/>
      <c r="C70" s="152">
        <v>20</v>
      </c>
      <c r="D70" s="448">
        <v>0.04</v>
      </c>
      <c r="E70" s="796">
        <v>0.25</v>
      </c>
      <c r="F70" s="523">
        <f t="shared" si="0"/>
        <v>1</v>
      </c>
      <c r="G70" s="523">
        <f t="shared" si="1"/>
        <v>0.96566031249999995</v>
      </c>
      <c r="H70" s="2783"/>
      <c r="I70" s="2784"/>
      <c r="J70" s="566"/>
      <c r="K70" s="608"/>
      <c r="L70" s="442"/>
      <c r="M70" s="442"/>
      <c r="N70" s="442"/>
      <c r="O70" s="442"/>
      <c r="P70" s="442"/>
      <c r="Q70" s="442"/>
      <c r="R70" s="442"/>
    </row>
    <row r="71" spans="2:18" ht="15" thickBot="1">
      <c r="B71" s="2459"/>
      <c r="C71" s="152">
        <v>21</v>
      </c>
      <c r="D71" s="448">
        <v>0.05</v>
      </c>
      <c r="E71" s="797">
        <v>0.25</v>
      </c>
      <c r="F71" s="523">
        <f t="shared" si="0"/>
        <v>1</v>
      </c>
      <c r="G71" s="523">
        <f t="shared" si="1"/>
        <v>7.287559166666667E-2</v>
      </c>
      <c r="H71" s="2783"/>
      <c r="I71" s="2784"/>
      <c r="J71" s="566"/>
      <c r="K71" s="608"/>
      <c r="L71" s="442"/>
      <c r="M71" s="442"/>
      <c r="N71" s="442"/>
      <c r="O71" s="442"/>
      <c r="P71" s="442"/>
      <c r="Q71" s="442"/>
      <c r="R71" s="442"/>
    </row>
    <row r="72" spans="2:18" ht="15" thickBot="1">
      <c r="B72" s="2460"/>
      <c r="C72" s="152"/>
      <c r="D72" s="573">
        <f>SUM(D51:D71)</f>
        <v>1.0000000000000002</v>
      </c>
      <c r="E72" s="522">
        <f>+SUMPRODUCT(D51:D71,E51:E71)</f>
        <v>0.24356516290726826</v>
      </c>
      <c r="F72" s="522">
        <f>+SUMPRODUCT(D51:D71,F51:F71)</f>
        <v>0.99794473602415501</v>
      </c>
      <c r="G72" s="523">
        <f t="shared" ref="G72" si="2">IFERROR(J45/I45,0)</f>
        <v>0.68899678673176556</v>
      </c>
      <c r="H72" s="2783"/>
      <c r="I72" s="2784"/>
      <c r="J72" s="574"/>
      <c r="K72" s="609"/>
      <c r="L72" s="442"/>
      <c r="M72" s="442" t="s">
        <v>2024</v>
      </c>
      <c r="N72" s="442"/>
      <c r="O72" s="442"/>
      <c r="P72" s="442"/>
      <c r="Q72" s="442"/>
      <c r="R72" s="442"/>
    </row>
    <row r="73" spans="2:18" ht="24" customHeight="1" thickBot="1">
      <c r="B73" s="575" t="s">
        <v>803</v>
      </c>
      <c r="C73" s="576"/>
      <c r="D73" s="2802" t="s">
        <v>2025</v>
      </c>
      <c r="E73" s="2803"/>
      <c r="F73" s="2803"/>
      <c r="G73" s="2803"/>
      <c r="H73" s="2803"/>
      <c r="I73" s="2803"/>
      <c r="J73" s="2803"/>
      <c r="K73" s="2804"/>
      <c r="L73" s="442"/>
      <c r="M73" s="442"/>
      <c r="N73" s="442"/>
      <c r="O73" s="442"/>
      <c r="P73" s="442"/>
      <c r="Q73" s="442"/>
      <c r="R73" s="442"/>
    </row>
    <row r="74" spans="2:18" ht="24.6" thickBot="1">
      <c r="B74" s="575" t="s">
        <v>805</v>
      </c>
      <c r="C74" s="576"/>
      <c r="D74" s="2802" t="s">
        <v>1117</v>
      </c>
      <c r="E74" s="2803"/>
      <c r="F74" s="2803"/>
      <c r="G74" s="2803"/>
      <c r="H74" s="2803"/>
      <c r="I74" s="2803"/>
      <c r="J74" s="2803"/>
      <c r="K74" s="2804"/>
      <c r="L74" s="442"/>
      <c r="M74" s="442"/>
      <c r="N74" s="442"/>
      <c r="O74" s="442"/>
      <c r="P74" s="442"/>
      <c r="Q74" s="442"/>
      <c r="R74" s="442"/>
    </row>
    <row r="75" spans="2:18" ht="15" thickBot="1">
      <c r="B75" s="577"/>
      <c r="C75" s="578"/>
      <c r="D75" s="442"/>
      <c r="E75" s="442"/>
      <c r="F75" s="442"/>
      <c r="G75" s="442"/>
      <c r="H75" s="442"/>
      <c r="I75" s="442"/>
      <c r="J75" s="442"/>
      <c r="K75" s="610"/>
      <c r="L75" s="442"/>
      <c r="M75" s="442"/>
      <c r="N75" s="442"/>
      <c r="O75" s="442"/>
      <c r="P75" s="442"/>
      <c r="Q75" s="442"/>
      <c r="R75" s="442"/>
    </row>
    <row r="76" spans="2:18" ht="24" customHeight="1" thickBot="1">
      <c r="B76" s="2791" t="s">
        <v>807</v>
      </c>
      <c r="C76" s="2792"/>
      <c r="D76" s="2792"/>
      <c r="E76" s="2793"/>
      <c r="F76" s="442"/>
      <c r="G76" s="442"/>
      <c r="H76" s="442"/>
      <c r="I76" s="442"/>
      <c r="J76" s="442"/>
      <c r="K76" s="610"/>
      <c r="L76" s="442"/>
      <c r="M76" s="442"/>
      <c r="N76" s="442"/>
      <c r="O76" s="442"/>
      <c r="P76" s="442"/>
      <c r="Q76" s="442"/>
      <c r="R76" s="442"/>
    </row>
    <row r="77" spans="2:18" ht="15" thickBot="1">
      <c r="B77" s="2787">
        <v>1</v>
      </c>
      <c r="C77" s="579"/>
      <c r="D77" s="580" t="s">
        <v>808</v>
      </c>
      <c r="E77" s="266" t="s">
        <v>809</v>
      </c>
      <c r="F77" s="442"/>
      <c r="G77" s="442"/>
      <c r="H77" s="442"/>
      <c r="I77" s="442"/>
      <c r="J77" s="442"/>
      <c r="K77" s="610"/>
      <c r="L77" s="442"/>
      <c r="M77" s="442"/>
      <c r="N77" s="442"/>
      <c r="O77" s="442"/>
      <c r="P77" s="442"/>
      <c r="Q77" s="442"/>
      <c r="R77" s="442"/>
    </row>
    <row r="78" spans="2:18" ht="24.6" thickBot="1">
      <c r="B78" s="2790"/>
      <c r="C78" s="579"/>
      <c r="D78" s="581" t="s">
        <v>528</v>
      </c>
      <c r="E78" s="565" t="s">
        <v>966</v>
      </c>
      <c r="F78" s="442"/>
      <c r="G78" s="442"/>
      <c r="H78" s="442"/>
      <c r="I78" s="442"/>
      <c r="J78" s="442"/>
      <c r="K78" s="610"/>
      <c r="L78" s="442"/>
      <c r="M78" s="442"/>
      <c r="N78" s="442"/>
      <c r="O78" s="442"/>
      <c r="P78" s="442"/>
      <c r="Q78" s="442"/>
      <c r="R78" s="442"/>
    </row>
    <row r="79" spans="2:18" ht="23.4" customHeight="1" thickBot="1">
      <c r="B79" s="2790"/>
      <c r="C79" s="579"/>
      <c r="D79" s="581" t="s">
        <v>811</v>
      </c>
      <c r="E79" s="565" t="s">
        <v>915</v>
      </c>
      <c r="F79" s="442"/>
      <c r="G79" s="442"/>
      <c r="H79" s="442"/>
      <c r="I79" s="442"/>
      <c r="J79" s="442"/>
      <c r="K79" s="610"/>
      <c r="L79" s="442"/>
      <c r="M79" s="442"/>
      <c r="N79" s="442"/>
      <c r="O79" s="442"/>
      <c r="P79" s="442"/>
      <c r="Q79" s="442"/>
      <c r="R79" s="442"/>
    </row>
    <row r="80" spans="2:18" ht="15" thickBot="1">
      <c r="B80" s="2790"/>
      <c r="C80" s="579"/>
      <c r="D80" s="581" t="s">
        <v>531</v>
      </c>
      <c r="E80" s="266" t="s">
        <v>2026</v>
      </c>
      <c r="F80" s="442"/>
      <c r="G80" s="442"/>
      <c r="H80" s="442"/>
      <c r="I80" s="442"/>
      <c r="J80" s="442"/>
      <c r="K80" s="610"/>
      <c r="L80" s="442"/>
      <c r="M80" s="442"/>
      <c r="N80" s="442"/>
      <c r="O80" s="442"/>
      <c r="P80" s="442"/>
      <c r="Q80" s="442"/>
      <c r="R80" s="442"/>
    </row>
    <row r="81" spans="2:18" ht="29.4" thickBot="1">
      <c r="B81" s="2790"/>
      <c r="C81" s="579"/>
      <c r="D81" s="581" t="s">
        <v>534</v>
      </c>
      <c r="E81" s="582" t="s">
        <v>814</v>
      </c>
      <c r="F81" s="442"/>
      <c r="G81" s="442"/>
      <c r="H81" s="442"/>
      <c r="I81" s="442"/>
      <c r="J81" s="442"/>
      <c r="K81" s="610"/>
      <c r="L81" s="442"/>
      <c r="M81" s="442"/>
      <c r="N81" s="442"/>
      <c r="O81" s="442"/>
      <c r="P81" s="442"/>
      <c r="Q81" s="442"/>
      <c r="R81" s="442"/>
    </row>
    <row r="82" spans="2:18" ht="15" thickBot="1">
      <c r="B82" s="2790"/>
      <c r="C82" s="579"/>
      <c r="D82" s="581" t="s">
        <v>537</v>
      </c>
      <c r="E82" s="266">
        <v>3686626</v>
      </c>
      <c r="F82" s="442"/>
      <c r="G82" s="442"/>
      <c r="H82" s="442"/>
      <c r="I82" s="442"/>
      <c r="J82" s="442"/>
      <c r="K82" s="610"/>
      <c r="L82" s="442"/>
      <c r="M82" s="442"/>
      <c r="N82" s="442"/>
      <c r="O82" s="442"/>
      <c r="P82" s="442"/>
      <c r="Q82" s="442"/>
      <c r="R82" s="442"/>
    </row>
    <row r="83" spans="2:18" ht="24.6" thickBot="1">
      <c r="B83" s="2788"/>
      <c r="C83" s="444"/>
      <c r="D83" s="581" t="s">
        <v>815</v>
      </c>
      <c r="E83" s="565" t="s">
        <v>816</v>
      </c>
      <c r="F83" s="442"/>
      <c r="G83" s="442"/>
      <c r="H83" s="442"/>
      <c r="I83" s="442"/>
      <c r="J83" s="442"/>
      <c r="K83" s="610"/>
      <c r="L83" s="442"/>
      <c r="M83" s="442"/>
      <c r="N83" s="442"/>
      <c r="O83" s="442"/>
      <c r="P83" s="442"/>
      <c r="Q83" s="442"/>
      <c r="R83" s="442"/>
    </row>
    <row r="84" spans="2:18" ht="15" thickBot="1">
      <c r="B84" s="577"/>
      <c r="C84" s="578"/>
      <c r="D84" s="442"/>
      <c r="E84" s="442"/>
      <c r="F84" s="442"/>
      <c r="G84" s="442"/>
      <c r="H84" s="442"/>
      <c r="I84" s="442"/>
      <c r="J84" s="442"/>
      <c r="K84" s="610"/>
      <c r="L84" s="442"/>
      <c r="M84" s="442"/>
      <c r="N84" s="442"/>
      <c r="O84" s="442"/>
      <c r="P84" s="442"/>
      <c r="Q84" s="442"/>
      <c r="R84" s="442"/>
    </row>
    <row r="85" spans="2:18" ht="15" thickBot="1">
      <c r="B85" s="2791" t="s">
        <v>817</v>
      </c>
      <c r="C85" s="2792"/>
      <c r="D85" s="2792"/>
      <c r="E85" s="2793"/>
      <c r="F85" s="442"/>
      <c r="G85" s="442"/>
      <c r="H85" s="442"/>
      <c r="I85" s="442"/>
      <c r="J85" s="442"/>
      <c r="K85" s="610"/>
      <c r="L85" s="442"/>
      <c r="M85" s="442"/>
      <c r="N85" s="442"/>
      <c r="O85" s="442"/>
      <c r="P85" s="442"/>
      <c r="Q85" s="442"/>
      <c r="R85" s="442"/>
    </row>
    <row r="86" spans="2:18" ht="15" thickBot="1">
      <c r="B86" s="2787">
        <v>1</v>
      </c>
      <c r="C86" s="579"/>
      <c r="D86" s="580" t="s">
        <v>808</v>
      </c>
      <c r="E86" s="583" t="s">
        <v>818</v>
      </c>
      <c r="F86" s="442"/>
      <c r="G86" s="442"/>
      <c r="H86" s="442"/>
      <c r="I86" s="442"/>
      <c r="J86" s="442"/>
      <c r="K86" s="610"/>
      <c r="L86" s="442"/>
      <c r="M86" s="442"/>
      <c r="N86" s="442"/>
      <c r="O86" s="442"/>
      <c r="P86" s="442"/>
      <c r="Q86" s="442"/>
      <c r="R86" s="442"/>
    </row>
    <row r="87" spans="2:18" ht="15" thickBot="1">
      <c r="B87" s="2790"/>
      <c r="C87" s="579"/>
      <c r="D87" s="581" t="s">
        <v>528</v>
      </c>
      <c r="E87" s="583" t="s">
        <v>819</v>
      </c>
      <c r="F87" s="442"/>
      <c r="G87" s="442"/>
      <c r="H87" s="442"/>
      <c r="I87" s="442"/>
      <c r="J87" s="442"/>
      <c r="K87" s="610"/>
      <c r="L87" s="442"/>
      <c r="M87" s="442"/>
      <c r="N87" s="442"/>
      <c r="O87" s="442"/>
      <c r="P87" s="442"/>
      <c r="Q87" s="442"/>
      <c r="R87" s="442"/>
    </row>
    <row r="88" spans="2:18" ht="15" thickBot="1">
      <c r="B88" s="2790"/>
      <c r="C88" s="579"/>
      <c r="D88" s="581" t="s">
        <v>811</v>
      </c>
      <c r="E88" s="584"/>
      <c r="F88" s="442"/>
      <c r="G88" s="442"/>
      <c r="H88" s="442"/>
      <c r="I88" s="442"/>
      <c r="J88" s="442"/>
      <c r="K88" s="610"/>
      <c r="L88" s="442"/>
      <c r="M88" s="442"/>
      <c r="N88" s="442"/>
      <c r="O88" s="442"/>
      <c r="P88" s="442"/>
      <c r="Q88" s="442"/>
      <c r="R88" s="442"/>
    </row>
    <row r="89" spans="2:18" ht="15" thickBot="1">
      <c r="B89" s="2790"/>
      <c r="C89" s="579"/>
      <c r="D89" s="581" t="s">
        <v>531</v>
      </c>
      <c r="E89" s="584"/>
      <c r="F89" s="442"/>
      <c r="G89" s="442"/>
      <c r="H89" s="442"/>
      <c r="I89" s="442"/>
      <c r="J89" s="442"/>
      <c r="K89" s="610"/>
      <c r="L89" s="442"/>
      <c r="M89" s="442"/>
      <c r="N89" s="442"/>
      <c r="O89" s="442"/>
      <c r="P89" s="442"/>
      <c r="Q89" s="442"/>
      <c r="R89" s="442"/>
    </row>
    <row r="90" spans="2:18" ht="15" thickBot="1">
      <c r="B90" s="2790"/>
      <c r="C90" s="579"/>
      <c r="D90" s="581" t="s">
        <v>534</v>
      </c>
      <c r="E90" s="584"/>
      <c r="F90" s="442"/>
      <c r="G90" s="442"/>
      <c r="H90" s="442"/>
      <c r="I90" s="442"/>
      <c r="J90" s="442"/>
      <c r="K90" s="610"/>
      <c r="L90" s="442"/>
      <c r="M90" s="442"/>
      <c r="N90" s="442"/>
      <c r="O90" s="442"/>
      <c r="P90" s="442"/>
      <c r="Q90" s="442"/>
      <c r="R90" s="442"/>
    </row>
    <row r="91" spans="2:18" ht="15" thickBot="1">
      <c r="B91" s="2790"/>
      <c r="C91" s="579"/>
      <c r="D91" s="581" t="s">
        <v>537</v>
      </c>
      <c r="E91" s="584"/>
      <c r="F91" s="442"/>
      <c r="G91" s="442"/>
      <c r="H91" s="442"/>
      <c r="I91" s="442"/>
      <c r="J91" s="442"/>
      <c r="K91" s="610"/>
      <c r="L91" s="442"/>
      <c r="M91" s="442"/>
      <c r="N91" s="442"/>
      <c r="O91" s="442"/>
      <c r="P91" s="442"/>
      <c r="Q91" s="442"/>
      <c r="R91" s="442"/>
    </row>
    <row r="92" spans="2:18" ht="15" thickBot="1">
      <c r="B92" s="2788"/>
      <c r="C92" s="444"/>
      <c r="D92" s="581" t="s">
        <v>815</v>
      </c>
      <c r="E92" s="584"/>
      <c r="F92" s="442"/>
      <c r="G92" s="442"/>
      <c r="H92" s="442"/>
      <c r="I92" s="442"/>
      <c r="J92" s="442"/>
      <c r="K92" s="610"/>
      <c r="L92" s="442"/>
      <c r="M92" s="442"/>
      <c r="N92" s="442"/>
      <c r="O92" s="442"/>
      <c r="P92" s="442"/>
      <c r="Q92" s="442"/>
      <c r="R92" s="442"/>
    </row>
    <row r="93" spans="2:18" ht="15" thickBot="1">
      <c r="B93" s="577"/>
      <c r="C93" s="578"/>
      <c r="D93" s="442"/>
      <c r="E93" s="442"/>
      <c r="F93" s="442"/>
      <c r="G93" s="442"/>
      <c r="H93" s="442"/>
      <c r="I93" s="442"/>
      <c r="J93" s="442"/>
      <c r="K93" s="610"/>
      <c r="L93" s="442"/>
      <c r="M93" s="442"/>
      <c r="N93" s="442"/>
      <c r="O93" s="442"/>
      <c r="P93" s="442"/>
      <c r="Q93" s="442"/>
      <c r="R93" s="442"/>
    </row>
    <row r="94" spans="2:18" ht="15" customHeight="1" thickBot="1">
      <c r="B94" s="585" t="s">
        <v>820</v>
      </c>
      <c r="C94" s="586"/>
      <c r="D94" s="586"/>
      <c r="E94" s="587"/>
      <c r="F94" s="442"/>
      <c r="G94" s="442"/>
      <c r="H94" s="442"/>
      <c r="I94" s="442"/>
      <c r="J94" s="442"/>
      <c r="K94" s="610"/>
      <c r="L94" s="442"/>
      <c r="M94" s="442"/>
      <c r="N94" s="442"/>
      <c r="O94" s="442"/>
      <c r="P94" s="442"/>
      <c r="Q94" s="442"/>
      <c r="R94" s="442"/>
    </row>
    <row r="95" spans="2:18" ht="24.6" thickBot="1">
      <c r="B95" s="575" t="s">
        <v>821</v>
      </c>
      <c r="C95" s="581" t="s">
        <v>822</v>
      </c>
      <c r="D95" s="581" t="s">
        <v>823</v>
      </c>
      <c r="E95" s="581" t="s">
        <v>824</v>
      </c>
      <c r="F95" s="442"/>
      <c r="G95" s="442"/>
      <c r="H95" s="442"/>
      <c r="I95" s="442"/>
      <c r="J95" s="442"/>
      <c r="K95" s="610"/>
      <c r="L95" s="442"/>
      <c r="M95" s="442"/>
      <c r="N95" s="442"/>
      <c r="O95" s="442"/>
      <c r="P95" s="442"/>
      <c r="Q95" s="442"/>
      <c r="R95" s="442"/>
    </row>
    <row r="96" spans="2:18" ht="60.6" thickBot="1">
      <c r="B96" s="588">
        <v>42401</v>
      </c>
      <c r="C96" s="581">
        <v>0.01</v>
      </c>
      <c r="D96" s="589" t="s">
        <v>2027</v>
      </c>
      <c r="E96" s="581"/>
      <c r="F96" s="442"/>
      <c r="G96" s="442"/>
      <c r="H96" s="442"/>
      <c r="I96" s="442"/>
      <c r="J96" s="442"/>
      <c r="K96" s="610"/>
      <c r="L96" s="442"/>
      <c r="M96" s="442"/>
      <c r="N96" s="442"/>
      <c r="O96" s="442"/>
      <c r="P96" s="442"/>
      <c r="Q96" s="442"/>
      <c r="R96" s="442"/>
    </row>
    <row r="97" spans="2:18" ht="15" thickBot="1">
      <c r="B97" s="590"/>
      <c r="C97" s="591"/>
      <c r="D97" s="442"/>
      <c r="E97" s="442"/>
      <c r="F97" s="442"/>
      <c r="G97" s="442"/>
      <c r="H97" s="442"/>
      <c r="I97" s="442"/>
      <c r="J97" s="442"/>
      <c r="K97" s="610"/>
      <c r="L97" s="442"/>
      <c r="M97" s="442"/>
      <c r="N97" s="442"/>
      <c r="O97" s="442"/>
      <c r="P97" s="442"/>
      <c r="Q97" s="442"/>
      <c r="R97" s="442"/>
    </row>
    <row r="98" spans="2:18" ht="15" thickBot="1">
      <c r="B98" s="592" t="s">
        <v>702</v>
      </c>
      <c r="C98" s="593"/>
      <c r="D98" s="442"/>
      <c r="E98" s="442"/>
      <c r="F98" s="442"/>
      <c r="G98" s="442"/>
      <c r="H98" s="442"/>
      <c r="I98" s="442"/>
      <c r="J98" s="442"/>
      <c r="K98" s="610"/>
      <c r="L98" s="442"/>
      <c r="M98" s="442"/>
      <c r="N98" s="442"/>
      <c r="O98" s="442"/>
      <c r="P98" s="442"/>
      <c r="Q98" s="442"/>
      <c r="R98" s="442"/>
    </row>
    <row r="99" spans="2:18">
      <c r="B99" s="2794"/>
      <c r="C99" s="2795"/>
      <c r="D99" s="2795"/>
      <c r="E99" s="2795"/>
      <c r="F99" s="2795"/>
      <c r="G99" s="2796"/>
      <c r="H99" s="442"/>
      <c r="I99" s="442"/>
      <c r="J99" s="442"/>
      <c r="K99" s="610"/>
      <c r="L99" s="442"/>
      <c r="M99" s="442"/>
      <c r="N99" s="442"/>
      <c r="O99" s="442"/>
      <c r="P99" s="442"/>
      <c r="Q99" s="442"/>
      <c r="R99" s="442"/>
    </row>
    <row r="100" spans="2:18" ht="15" thickBot="1">
      <c r="B100" s="2797"/>
      <c r="C100" s="2798"/>
      <c r="D100" s="2798"/>
      <c r="E100" s="2798"/>
      <c r="F100" s="2798"/>
      <c r="G100" s="2799"/>
      <c r="H100" s="442"/>
      <c r="I100" s="442"/>
      <c r="J100" s="442"/>
      <c r="K100" s="610"/>
      <c r="L100" s="442"/>
      <c r="M100" s="442"/>
      <c r="N100" s="442"/>
      <c r="O100" s="442"/>
      <c r="P100" s="442"/>
      <c r="Q100" s="442"/>
      <c r="R100" s="442"/>
    </row>
    <row r="101" spans="2:18">
      <c r="B101" s="577"/>
      <c r="C101" s="578"/>
      <c r="D101" s="442"/>
      <c r="E101" s="442"/>
      <c r="F101" s="442"/>
      <c r="G101" s="442"/>
      <c r="H101" s="442"/>
      <c r="I101" s="442"/>
      <c r="J101" s="442"/>
      <c r="K101" s="610"/>
      <c r="L101" s="442"/>
      <c r="M101" s="442"/>
      <c r="N101" s="442"/>
      <c r="O101" s="442"/>
      <c r="P101" s="442"/>
      <c r="Q101" s="442"/>
      <c r="R101" s="442"/>
    </row>
    <row r="102" spans="2:18" ht="15" thickBot="1">
      <c r="B102" s="442"/>
      <c r="C102" s="564"/>
      <c r="D102" s="442"/>
      <c r="E102" s="442"/>
      <c r="F102" s="442"/>
      <c r="G102" s="442"/>
      <c r="H102" s="442"/>
      <c r="I102" s="442"/>
      <c r="J102" s="442"/>
      <c r="K102" s="610"/>
      <c r="L102" s="442"/>
      <c r="M102" s="442"/>
      <c r="N102" s="442"/>
      <c r="O102" s="442"/>
      <c r="P102" s="442"/>
      <c r="Q102" s="442"/>
      <c r="R102" s="442"/>
    </row>
    <row r="103" spans="2:18" ht="24.6" thickBot="1">
      <c r="B103" s="594" t="s">
        <v>826</v>
      </c>
      <c r="C103" s="595"/>
      <c r="D103" s="442"/>
      <c r="E103" s="442"/>
      <c r="F103" s="442"/>
      <c r="G103" s="442"/>
      <c r="H103" s="442"/>
      <c r="I103" s="442"/>
      <c r="J103" s="442"/>
      <c r="K103" s="610"/>
      <c r="L103" s="442"/>
      <c r="M103" s="442"/>
      <c r="N103" s="442"/>
      <c r="O103" s="442"/>
      <c r="P103" s="442"/>
      <c r="Q103" s="442"/>
      <c r="R103" s="442"/>
    </row>
    <row r="104" spans="2:18" ht="15" thickBot="1">
      <c r="B104" s="583"/>
      <c r="C104" s="596"/>
      <c r="D104" s="442"/>
      <c r="E104" s="442"/>
      <c r="F104" s="442"/>
      <c r="G104" s="442"/>
      <c r="H104" s="442"/>
      <c r="I104" s="442"/>
      <c r="J104" s="442"/>
      <c r="K104" s="610"/>
      <c r="L104" s="442"/>
      <c r="M104" s="442"/>
      <c r="N104" s="442"/>
      <c r="O104" s="442"/>
      <c r="P104" s="442"/>
      <c r="Q104" s="442"/>
      <c r="R104" s="442"/>
    </row>
    <row r="105" spans="2:18" ht="48.6" thickBot="1">
      <c r="B105" s="597" t="s">
        <v>827</v>
      </c>
      <c r="C105" s="598"/>
      <c r="D105" s="599" t="s">
        <v>2028</v>
      </c>
      <c r="E105" s="442"/>
      <c r="F105" s="442"/>
      <c r="G105" s="442"/>
      <c r="H105" s="442"/>
      <c r="I105" s="442"/>
      <c r="J105" s="442"/>
      <c r="K105" s="610"/>
      <c r="L105" s="442"/>
      <c r="M105" s="442"/>
      <c r="N105" s="442"/>
      <c r="O105" s="442"/>
      <c r="P105" s="442"/>
      <c r="Q105" s="442"/>
      <c r="R105" s="442"/>
    </row>
    <row r="106" spans="2:18">
      <c r="B106" s="2787" t="s">
        <v>829</v>
      </c>
      <c r="C106" s="579"/>
      <c r="D106" s="600" t="s">
        <v>830</v>
      </c>
      <c r="E106" s="442"/>
      <c r="F106" s="442"/>
      <c r="G106" s="442"/>
      <c r="H106" s="442"/>
      <c r="I106" s="442"/>
      <c r="J106" s="442"/>
      <c r="K106" s="610"/>
      <c r="L106" s="442"/>
      <c r="M106" s="442"/>
      <c r="N106" s="442"/>
      <c r="O106" s="442"/>
      <c r="P106" s="442"/>
      <c r="Q106" s="442"/>
      <c r="R106" s="442"/>
    </row>
    <row r="107" spans="2:18" ht="60">
      <c r="B107" s="2790"/>
      <c r="C107" s="579"/>
      <c r="D107" s="601" t="s">
        <v>2029</v>
      </c>
      <c r="E107" s="442"/>
      <c r="F107" s="442"/>
      <c r="G107" s="442"/>
      <c r="H107" s="442"/>
      <c r="I107" s="442"/>
      <c r="J107" s="442"/>
      <c r="K107" s="610"/>
      <c r="L107" s="442"/>
      <c r="M107" s="442"/>
      <c r="N107" s="442"/>
      <c r="O107" s="442"/>
      <c r="P107" s="442"/>
      <c r="Q107" s="442"/>
      <c r="R107" s="442"/>
    </row>
    <row r="108" spans="2:18">
      <c r="B108" s="2790"/>
      <c r="C108" s="579"/>
      <c r="D108" s="600" t="s">
        <v>833</v>
      </c>
      <c r="E108" s="442"/>
      <c r="F108" s="442"/>
      <c r="G108" s="442"/>
      <c r="H108" s="442"/>
      <c r="I108" s="442"/>
      <c r="J108" s="442"/>
      <c r="K108" s="610"/>
      <c r="L108" s="442"/>
      <c r="M108" s="442"/>
      <c r="N108" s="442"/>
      <c r="O108" s="442"/>
      <c r="P108" s="442"/>
      <c r="Q108" s="442"/>
      <c r="R108" s="442"/>
    </row>
    <row r="109" spans="2:18">
      <c r="B109" s="2790"/>
      <c r="C109" s="579"/>
      <c r="D109" s="601" t="s">
        <v>2030</v>
      </c>
      <c r="E109" s="442"/>
      <c r="F109" s="442"/>
      <c r="G109" s="442"/>
      <c r="H109" s="442"/>
      <c r="I109" s="442"/>
      <c r="J109" s="442"/>
      <c r="K109" s="610"/>
      <c r="L109" s="442"/>
      <c r="M109" s="442"/>
      <c r="N109" s="442"/>
      <c r="O109" s="442"/>
      <c r="P109" s="442"/>
      <c r="Q109" s="442"/>
      <c r="R109" s="442"/>
    </row>
    <row r="110" spans="2:18">
      <c r="B110" s="2790"/>
      <c r="C110" s="579"/>
      <c r="D110" s="601" t="s">
        <v>835</v>
      </c>
      <c r="E110" s="442"/>
      <c r="F110" s="442"/>
      <c r="G110" s="442"/>
      <c r="H110" s="442"/>
      <c r="I110" s="442"/>
      <c r="J110" s="442"/>
      <c r="K110" s="610"/>
      <c r="L110" s="442"/>
      <c r="M110" s="442"/>
      <c r="N110" s="442"/>
      <c r="O110" s="442"/>
      <c r="P110" s="442"/>
      <c r="Q110" s="442"/>
      <c r="R110" s="442"/>
    </row>
    <row r="111" spans="2:18">
      <c r="B111" s="2790"/>
      <c r="C111" s="579"/>
      <c r="D111" s="600" t="s">
        <v>1085</v>
      </c>
      <c r="E111" s="442"/>
      <c r="F111" s="442"/>
      <c r="G111" s="442"/>
      <c r="H111" s="442"/>
      <c r="I111" s="442"/>
      <c r="J111" s="442"/>
      <c r="K111" s="610"/>
      <c r="L111" s="442"/>
      <c r="M111" s="442"/>
      <c r="N111" s="442"/>
      <c r="O111" s="442"/>
      <c r="P111" s="442"/>
      <c r="Q111" s="442"/>
      <c r="R111" s="442"/>
    </row>
    <row r="112" spans="2:18" ht="15" thickBot="1">
      <c r="B112" s="2788"/>
      <c r="C112" s="444"/>
      <c r="D112" s="581" t="s">
        <v>2031</v>
      </c>
      <c r="E112" s="442"/>
      <c r="F112" s="442"/>
      <c r="G112" s="442"/>
      <c r="H112" s="442"/>
      <c r="I112" s="442"/>
      <c r="J112" s="442"/>
      <c r="K112" s="610"/>
      <c r="L112" s="442"/>
      <c r="M112" s="442"/>
      <c r="N112" s="442"/>
      <c r="O112" s="442"/>
      <c r="P112" s="442"/>
      <c r="Q112" s="442"/>
      <c r="R112" s="442"/>
    </row>
    <row r="113" spans="2:18">
      <c r="B113" s="2787" t="s">
        <v>842</v>
      </c>
      <c r="C113" s="602"/>
      <c r="D113" s="2787"/>
      <c r="E113" s="442"/>
      <c r="F113" s="442"/>
      <c r="G113" s="442"/>
      <c r="H113" s="442"/>
      <c r="I113" s="442"/>
      <c r="J113" s="442"/>
      <c r="K113" s="610"/>
      <c r="L113" s="442"/>
      <c r="M113" s="442"/>
      <c r="N113" s="442"/>
      <c r="O113" s="442"/>
      <c r="P113" s="442"/>
      <c r="Q113" s="442"/>
      <c r="R113" s="442"/>
    </row>
    <row r="114" spans="2:18" ht="15" thickBot="1">
      <c r="B114" s="2788"/>
      <c r="C114" s="603"/>
      <c r="D114" s="2788"/>
      <c r="E114" s="442"/>
      <c r="F114" s="442"/>
      <c r="G114" s="442"/>
      <c r="H114" s="442"/>
      <c r="I114" s="442"/>
      <c r="J114" s="442"/>
      <c r="K114" s="610"/>
      <c r="L114" s="442"/>
      <c r="M114" s="442"/>
      <c r="N114" s="442"/>
      <c r="O114" s="442"/>
      <c r="P114" s="442"/>
      <c r="Q114" s="442"/>
      <c r="R114" s="442"/>
    </row>
    <row r="115" spans="2:18" ht="72">
      <c r="B115" s="2787" t="s">
        <v>843</v>
      </c>
      <c r="C115" s="579"/>
      <c r="D115" s="601" t="s">
        <v>2032</v>
      </c>
      <c r="E115" s="442"/>
      <c r="F115" s="442"/>
      <c r="G115" s="442"/>
      <c r="H115" s="442"/>
      <c r="I115" s="442"/>
      <c r="J115" s="442"/>
      <c r="K115" s="610"/>
      <c r="L115" s="442"/>
      <c r="M115" s="442"/>
      <c r="N115" s="442"/>
      <c r="O115" s="442"/>
      <c r="P115" s="442"/>
      <c r="Q115" s="442"/>
      <c r="R115" s="442"/>
    </row>
    <row r="116" spans="2:18" ht="180">
      <c r="B116" s="2790"/>
      <c r="C116" s="579"/>
      <c r="D116" s="601" t="s">
        <v>2033</v>
      </c>
      <c r="E116" s="442"/>
      <c r="F116" s="442"/>
      <c r="G116" s="442"/>
      <c r="H116" s="442"/>
      <c r="I116" s="442"/>
      <c r="J116" s="442"/>
      <c r="K116" s="610"/>
      <c r="L116" s="442"/>
      <c r="M116" s="442"/>
      <c r="N116" s="442"/>
      <c r="O116" s="442"/>
      <c r="P116" s="442"/>
      <c r="Q116" s="442"/>
      <c r="R116" s="442"/>
    </row>
    <row r="117" spans="2:18" ht="180">
      <c r="B117" s="2790"/>
      <c r="C117" s="579"/>
      <c r="D117" s="601" t="s">
        <v>2034</v>
      </c>
      <c r="E117" s="442"/>
      <c r="F117" s="442"/>
      <c r="G117" s="442"/>
      <c r="H117" s="442"/>
      <c r="I117" s="442"/>
      <c r="J117" s="442"/>
      <c r="K117" s="610"/>
    </row>
    <row r="118" spans="2:18" ht="72">
      <c r="B118" s="2790"/>
      <c r="C118" s="579"/>
      <c r="D118" s="601" t="s">
        <v>2035</v>
      </c>
      <c r="E118" s="442"/>
      <c r="F118" s="442"/>
      <c r="G118" s="442"/>
      <c r="H118" s="442"/>
      <c r="I118" s="442"/>
      <c r="J118" s="442"/>
      <c r="K118" s="610"/>
    </row>
    <row r="119" spans="2:18" ht="24">
      <c r="B119" s="2790"/>
      <c r="C119" s="579"/>
      <c r="D119" s="601" t="s">
        <v>2036</v>
      </c>
      <c r="E119" s="442"/>
      <c r="F119" s="442"/>
      <c r="G119" s="442"/>
      <c r="H119" s="442"/>
      <c r="I119" s="442"/>
      <c r="J119" s="442"/>
      <c r="K119" s="610"/>
    </row>
    <row r="120" spans="2:18" ht="36">
      <c r="B120" s="2790"/>
      <c r="C120" s="579"/>
      <c r="D120" s="601" t="s">
        <v>2037</v>
      </c>
      <c r="E120" s="442"/>
      <c r="F120" s="442"/>
      <c r="G120" s="442"/>
      <c r="H120" s="442"/>
      <c r="I120" s="442"/>
      <c r="J120" s="442"/>
      <c r="K120" s="610"/>
    </row>
    <row r="121" spans="2:18" ht="36">
      <c r="B121" s="2790"/>
      <c r="C121" s="579"/>
      <c r="D121" s="601" t="s">
        <v>2038</v>
      </c>
      <c r="E121" s="442"/>
      <c r="F121" s="442"/>
      <c r="G121" s="442"/>
      <c r="H121" s="442"/>
      <c r="I121" s="442"/>
      <c r="J121" s="442"/>
      <c r="K121" s="610"/>
    </row>
    <row r="122" spans="2:18" ht="24">
      <c r="B122" s="2790"/>
      <c r="C122" s="579"/>
      <c r="D122" s="601" t="s">
        <v>2039</v>
      </c>
      <c r="E122" s="442"/>
      <c r="F122" s="442"/>
      <c r="G122" s="442"/>
      <c r="H122" s="442"/>
      <c r="I122" s="442"/>
      <c r="J122" s="442"/>
      <c r="K122" s="610"/>
    </row>
    <row r="123" spans="2:18" ht="24">
      <c r="B123" s="2790"/>
      <c r="C123" s="579"/>
      <c r="D123" s="601" t="s">
        <v>2040</v>
      </c>
      <c r="E123" s="442"/>
      <c r="F123" s="442"/>
      <c r="G123" s="442"/>
      <c r="H123" s="442"/>
      <c r="I123" s="442"/>
      <c r="J123" s="442"/>
      <c r="K123" s="610"/>
    </row>
    <row r="124" spans="2:18" ht="24">
      <c r="B124" s="2790"/>
      <c r="C124" s="579"/>
      <c r="D124" s="601" t="s">
        <v>2041</v>
      </c>
      <c r="E124" s="442"/>
      <c r="F124" s="442"/>
      <c r="G124" s="442"/>
      <c r="H124" s="442"/>
      <c r="I124" s="442"/>
      <c r="J124" s="442"/>
      <c r="K124" s="610"/>
    </row>
    <row r="125" spans="2:18" ht="60.6" thickBot="1">
      <c r="B125" s="2788"/>
      <c r="C125" s="444"/>
      <c r="D125" s="581" t="s">
        <v>2042</v>
      </c>
      <c r="E125" s="442"/>
      <c r="F125" s="442"/>
      <c r="G125" s="442"/>
      <c r="H125" s="442"/>
      <c r="I125" s="442"/>
      <c r="J125" s="442"/>
      <c r="K125" s="610"/>
    </row>
    <row r="126" spans="2:18" ht="24">
      <c r="B126" s="2787" t="s">
        <v>860</v>
      </c>
      <c r="C126" s="579"/>
      <c r="D126" s="600" t="s">
        <v>2043</v>
      </c>
      <c r="E126" s="442"/>
      <c r="F126" s="442"/>
      <c r="G126" s="442"/>
      <c r="H126" s="442"/>
      <c r="I126" s="442"/>
      <c r="J126" s="442"/>
      <c r="K126" s="610"/>
    </row>
    <row r="127" spans="2:18">
      <c r="B127" s="2790"/>
      <c r="C127" s="579"/>
      <c r="D127" s="604"/>
      <c r="E127" s="442"/>
      <c r="F127" s="442"/>
      <c r="G127" s="442"/>
      <c r="H127" s="442"/>
      <c r="I127" s="442"/>
      <c r="J127" s="442"/>
      <c r="K127" s="610"/>
    </row>
    <row r="128" spans="2:18">
      <c r="B128" s="2790"/>
      <c r="C128" s="579"/>
      <c r="D128" s="601" t="s">
        <v>861</v>
      </c>
      <c r="E128" s="442"/>
      <c r="F128" s="442"/>
      <c r="G128" s="442"/>
      <c r="H128" s="442"/>
      <c r="I128" s="442"/>
      <c r="J128" s="442"/>
      <c r="K128" s="610"/>
    </row>
    <row r="129" spans="2:11" ht="26.4">
      <c r="B129" s="2790"/>
      <c r="C129" s="579"/>
      <c r="D129" s="601" t="s">
        <v>2044</v>
      </c>
      <c r="E129" s="442"/>
      <c r="F129" s="442"/>
      <c r="G129" s="442"/>
      <c r="H129" s="442"/>
      <c r="I129" s="442"/>
      <c r="J129" s="442"/>
      <c r="K129" s="610"/>
    </row>
    <row r="130" spans="2:11" ht="26.4">
      <c r="B130" s="2790"/>
      <c r="C130" s="579"/>
      <c r="D130" s="601" t="s">
        <v>2045</v>
      </c>
      <c r="E130" s="442"/>
      <c r="F130" s="442"/>
      <c r="G130" s="442"/>
      <c r="H130" s="442"/>
      <c r="I130" s="442"/>
      <c r="J130" s="442"/>
      <c r="K130" s="610"/>
    </row>
    <row r="131" spans="2:11" ht="26.4">
      <c r="B131" s="2790"/>
      <c r="C131" s="579"/>
      <c r="D131" s="601" t="s">
        <v>2046</v>
      </c>
      <c r="E131" s="442"/>
      <c r="F131" s="442"/>
      <c r="G131" s="442"/>
      <c r="H131" s="442"/>
      <c r="I131" s="442"/>
      <c r="J131" s="442"/>
      <c r="K131" s="610"/>
    </row>
    <row r="132" spans="2:11" ht="26.4">
      <c r="B132" s="2790"/>
      <c r="C132" s="579"/>
      <c r="D132" s="601" t="s">
        <v>2047</v>
      </c>
      <c r="E132" s="442"/>
      <c r="F132" s="442"/>
      <c r="G132" s="442"/>
      <c r="H132" s="442"/>
      <c r="I132" s="442"/>
      <c r="J132" s="442"/>
      <c r="K132" s="610"/>
    </row>
    <row r="133" spans="2:11">
      <c r="B133" s="2790"/>
      <c r="C133" s="579"/>
      <c r="D133" s="601" t="s">
        <v>2048</v>
      </c>
      <c r="E133" s="442"/>
      <c r="F133" s="442"/>
      <c r="G133" s="442"/>
      <c r="H133" s="442"/>
      <c r="I133" s="442"/>
      <c r="J133" s="442"/>
      <c r="K133" s="610"/>
    </row>
    <row r="134" spans="2:11">
      <c r="B134" s="2790"/>
      <c r="C134" s="579"/>
      <c r="D134" s="601" t="s">
        <v>2049</v>
      </c>
      <c r="E134" s="442"/>
      <c r="F134" s="442"/>
      <c r="G134" s="442"/>
      <c r="H134" s="442"/>
      <c r="I134" s="442"/>
      <c r="J134" s="442"/>
      <c r="K134" s="610"/>
    </row>
    <row r="135" spans="2:11">
      <c r="B135" s="2790"/>
      <c r="C135" s="579"/>
      <c r="D135" s="601" t="s">
        <v>2050</v>
      </c>
      <c r="E135" s="442"/>
      <c r="F135" s="442"/>
      <c r="G135" s="442"/>
      <c r="H135" s="442"/>
      <c r="I135" s="442"/>
      <c r="J135" s="442"/>
      <c r="K135" s="610"/>
    </row>
    <row r="136" spans="2:11">
      <c r="B136" s="2790"/>
      <c r="C136" s="579"/>
      <c r="D136" s="601" t="s">
        <v>1705</v>
      </c>
      <c r="E136" s="442"/>
      <c r="F136" s="442"/>
      <c r="G136" s="442"/>
      <c r="H136" s="442"/>
      <c r="I136" s="442"/>
      <c r="J136" s="442"/>
      <c r="K136" s="610"/>
    </row>
    <row r="137" spans="2:11" ht="72">
      <c r="B137" s="2790"/>
      <c r="C137" s="579"/>
      <c r="D137" s="605" t="s">
        <v>1052</v>
      </c>
      <c r="E137" s="442"/>
      <c r="F137" s="442"/>
      <c r="G137" s="442"/>
      <c r="H137" s="442"/>
      <c r="I137" s="442"/>
      <c r="J137" s="442"/>
      <c r="K137" s="610"/>
    </row>
    <row r="138" spans="2:11">
      <c r="B138" s="2790"/>
      <c r="C138" s="579"/>
      <c r="D138" s="601" t="s">
        <v>1021</v>
      </c>
      <c r="E138" s="442"/>
      <c r="F138" s="442"/>
      <c r="G138" s="442"/>
      <c r="H138" s="442"/>
      <c r="I138" s="442"/>
      <c r="J138" s="442"/>
      <c r="K138" s="610"/>
    </row>
    <row r="139" spans="2:11" ht="24">
      <c r="B139" s="2790"/>
      <c r="C139" s="579"/>
      <c r="D139" s="600" t="s">
        <v>2051</v>
      </c>
      <c r="E139" s="442"/>
      <c r="F139" s="442"/>
      <c r="G139" s="442"/>
      <c r="H139" s="442"/>
      <c r="I139" s="442"/>
      <c r="J139" s="442"/>
      <c r="K139" s="610"/>
    </row>
    <row r="140" spans="2:11">
      <c r="B140" s="2790"/>
      <c r="C140" s="579"/>
      <c r="D140" s="604"/>
      <c r="E140" s="442"/>
      <c r="F140" s="442"/>
      <c r="G140" s="442"/>
      <c r="H140" s="442"/>
      <c r="I140" s="442"/>
      <c r="J140" s="442"/>
      <c r="K140" s="610"/>
    </row>
    <row r="141" spans="2:11">
      <c r="B141" s="2790"/>
      <c r="C141" s="579"/>
      <c r="D141" s="601" t="s">
        <v>861</v>
      </c>
      <c r="E141" s="442"/>
      <c r="F141" s="442"/>
      <c r="G141" s="442"/>
      <c r="H141" s="442"/>
      <c r="I141" s="442"/>
      <c r="J141" s="442"/>
      <c r="K141" s="610"/>
    </row>
    <row r="142" spans="2:11" ht="26.4">
      <c r="B142" s="2790"/>
      <c r="C142" s="579"/>
      <c r="D142" s="601" t="s">
        <v>2052</v>
      </c>
      <c r="E142" s="442"/>
      <c r="F142" s="442"/>
      <c r="G142" s="442"/>
      <c r="H142" s="442"/>
      <c r="I142" s="442"/>
      <c r="J142" s="442"/>
      <c r="K142" s="610"/>
    </row>
    <row r="143" spans="2:11" ht="26.4">
      <c r="B143" s="2790"/>
      <c r="C143" s="579"/>
      <c r="D143" s="601" t="s">
        <v>2053</v>
      </c>
      <c r="E143" s="442"/>
      <c r="F143" s="442"/>
      <c r="G143" s="442"/>
      <c r="H143" s="442"/>
      <c r="I143" s="442"/>
      <c r="J143" s="442"/>
      <c r="K143" s="610"/>
    </row>
    <row r="144" spans="2:11" ht="27" thickBot="1">
      <c r="B144" s="2788"/>
      <c r="C144" s="444"/>
      <c r="D144" s="581" t="s">
        <v>2054</v>
      </c>
      <c r="E144" s="442"/>
      <c r="F144" s="442"/>
      <c r="G144" s="442"/>
      <c r="H144" s="442"/>
      <c r="I144" s="442"/>
      <c r="J144" s="442"/>
      <c r="K144" s="610"/>
    </row>
    <row r="145" spans="2:11">
      <c r="B145" s="442"/>
      <c r="C145" s="564"/>
      <c r="D145" s="442"/>
      <c r="E145" s="442"/>
      <c r="F145" s="442"/>
      <c r="G145" s="442"/>
      <c r="H145" s="442"/>
      <c r="I145" s="442"/>
      <c r="J145" s="442"/>
      <c r="K145" s="610"/>
    </row>
    <row r="146" spans="2:11" s="442" customFormat="1">
      <c r="C146" s="564"/>
      <c r="K146" s="610"/>
    </row>
    <row r="147" spans="2:11" s="442" customFormat="1">
      <c r="C147" s="564"/>
      <c r="K147" s="610"/>
    </row>
    <row r="148" spans="2:11" s="442" customFormat="1">
      <c r="C148" s="564"/>
      <c r="K148" s="610"/>
    </row>
    <row r="149" spans="2:11" s="442" customFormat="1">
      <c r="C149" s="564"/>
      <c r="K149" s="610"/>
    </row>
    <row r="150" spans="2:11" s="442" customFormat="1">
      <c r="C150" s="564"/>
      <c r="K150" s="610"/>
    </row>
    <row r="151" spans="2:11" s="442" customFormat="1">
      <c r="C151" s="564"/>
      <c r="K151" s="610"/>
    </row>
    <row r="152" spans="2:11" s="442" customFormat="1">
      <c r="C152" s="564"/>
      <c r="K152" s="610"/>
    </row>
    <row r="153" spans="2:11" s="442" customFormat="1">
      <c r="C153" s="564"/>
      <c r="K153" s="610"/>
    </row>
    <row r="154" spans="2:11" s="442" customFormat="1">
      <c r="C154" s="564"/>
      <c r="K154" s="610"/>
    </row>
  </sheetData>
  <sheetProtection formatCells="0" formatRows="0" insertColumns="0" insertRows="0" deleteColumns="0" deleteRows="0"/>
  <mergeCells count="61">
    <mergeCell ref="A1:P1"/>
    <mergeCell ref="A2:P2"/>
    <mergeCell ref="A3:P3"/>
    <mergeCell ref="A4:D4"/>
    <mergeCell ref="A5:P5"/>
    <mergeCell ref="B10:D10"/>
    <mergeCell ref="F10:S10"/>
    <mergeCell ref="F11:S11"/>
    <mergeCell ref="E12:R12"/>
    <mergeCell ref="E13:R13"/>
    <mergeCell ref="B115:B125"/>
    <mergeCell ref="B126:B144"/>
    <mergeCell ref="B99:G100"/>
    <mergeCell ref="D46:K46"/>
    <mergeCell ref="F48:G48"/>
    <mergeCell ref="E49:E50"/>
    <mergeCell ref="F49:F50"/>
    <mergeCell ref="D47:K47"/>
    <mergeCell ref="D73:K73"/>
    <mergeCell ref="D74:K74"/>
    <mergeCell ref="B76:E76"/>
    <mergeCell ref="B77:B83"/>
    <mergeCell ref="B15:B72"/>
    <mergeCell ref="D15:K15"/>
    <mergeCell ref="D20:K20"/>
    <mergeCell ref="B106:B112"/>
    <mergeCell ref="B113:B114"/>
    <mergeCell ref="D113:D114"/>
    <mergeCell ref="C48:C50"/>
    <mergeCell ref="D48:D50"/>
    <mergeCell ref="B86:B92"/>
    <mergeCell ref="B85:E85"/>
    <mergeCell ref="D21:K21"/>
    <mergeCell ref="D22:D23"/>
    <mergeCell ref="E22:F22"/>
    <mergeCell ref="G22:J22"/>
    <mergeCell ref="C22:C23"/>
    <mergeCell ref="H49:I50"/>
    <mergeCell ref="H48:I48"/>
    <mergeCell ref="H51:I51"/>
    <mergeCell ref="H52:I52"/>
    <mergeCell ref="H53:I53"/>
    <mergeCell ref="H54:I54"/>
    <mergeCell ref="H55:I55"/>
    <mergeCell ref="H56:I56"/>
    <mergeCell ref="H57:I57"/>
    <mergeCell ref="H58:I58"/>
    <mergeCell ref="H59:I59"/>
    <mergeCell ref="H60:I60"/>
    <mergeCell ref="H61:I61"/>
    <mergeCell ref="H62:I62"/>
    <mergeCell ref="H63:I63"/>
    <mergeCell ref="H72:I72"/>
    <mergeCell ref="H69:I69"/>
    <mergeCell ref="H70:I70"/>
    <mergeCell ref="H71:I71"/>
    <mergeCell ref="H64:I64"/>
    <mergeCell ref="H65:I65"/>
    <mergeCell ref="H66:I66"/>
    <mergeCell ref="H67:I67"/>
    <mergeCell ref="H68:I68"/>
  </mergeCells>
  <phoneticPr fontId="41" type="noConversion"/>
  <conditionalFormatting sqref="D72">
    <cfRule type="containsText" dxfId="11" priority="5" operator="containsText" text="ERROR">
      <formula>NOT(ISERROR(SEARCH("ERROR",D72)))</formula>
    </cfRule>
  </conditionalFormatting>
  <conditionalFormatting sqref="E12:R12">
    <cfRule type="expression" dxfId="10" priority="1">
      <formula>E11="SI SE REPORTA"</formula>
    </cfRule>
  </conditionalFormatting>
  <conditionalFormatting sqref="F10">
    <cfRule type="notContainsBlanks" dxfId="9" priority="4">
      <formula>LEN(TRIM(F10))&gt;0</formula>
    </cfRule>
  </conditionalFormatting>
  <conditionalFormatting sqref="F11:S11">
    <cfRule type="expression" dxfId="8" priority="2">
      <formula>E11="NO SE REPORTA"</formula>
    </cfRule>
    <cfRule type="expression" dxfId="7"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F00-000000000000}">
      <formula1>0</formula1>
    </dataValidation>
    <dataValidation type="whole" operator="greaterThanOrEqual" allowBlank="1" showInputMessage="1" showErrorMessage="1" errorTitle="ERROR" error="Valor en PESOS (sin centavos)" sqref="E18:H19" xr:uid="{00000000-0002-0000-1F00-000001000000}">
      <formula1>0</formula1>
    </dataValidation>
    <dataValidation type="decimal" allowBlank="1" showInputMessage="1" showErrorMessage="1" errorTitle="ERROR" error="Escriba un valor entre 0% y 100%" sqref="D51:D71" xr:uid="{00000000-0002-0000-1F00-000002000000}">
      <formula1>0</formula1>
      <formula2>1</formula2>
    </dataValidation>
    <dataValidation allowBlank="1" showInputMessage="1" showErrorMessage="1" sqref="G45:J45 F51:G72 D72:E72" xr:uid="{00000000-0002-0000-1F00-000003000000}"/>
    <dataValidation type="list" allowBlank="1" showInputMessage="1" showErrorMessage="1" sqref="E11" xr:uid="{00000000-0002-0000-1F00-000004000000}">
      <formula1>REPORTE</formula1>
    </dataValidation>
    <dataValidation type="list" allowBlank="1" showInputMessage="1" showErrorMessage="1" sqref="E10" xr:uid="{00000000-0002-0000-1F00-000005000000}">
      <formula1>SI</formula1>
    </dataValidation>
  </dataValidations>
  <hyperlinks>
    <hyperlink ref="B9" location="'ANEXO 3'!A1" display="VOLVER AL INDICE" xr:uid="{00000000-0004-0000-1F00-000000000000}"/>
    <hyperlink ref="E81" r:id="rId1" xr:uid="{00000000-0004-0000-1F00-000001000000}"/>
  </hyperlinks>
  <pageMargins left="0.25" right="0.25" top="0.75" bottom="0.75" header="0.3" footer="0.3"/>
  <pageSetup paperSize="178" orientation="landscape" horizontalDpi="1200" verticalDpi="120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8"/>
  <dimension ref="A1:C28"/>
  <sheetViews>
    <sheetView workbookViewId="0"/>
  </sheetViews>
  <sheetFormatPr baseColWidth="10" defaultColWidth="11.44140625" defaultRowHeight="14.4"/>
  <cols>
    <col min="1" max="1" width="8.109375" bestFit="1" customWidth="1"/>
    <col min="2" max="2" width="12.88671875" bestFit="1" customWidth="1"/>
    <col min="3" max="3" width="68.88671875" customWidth="1"/>
  </cols>
  <sheetData>
    <row r="1" spans="1:3">
      <c r="A1" s="300" t="s">
        <v>741</v>
      </c>
    </row>
    <row r="3" spans="1:3">
      <c r="B3" s="144" t="s">
        <v>2055</v>
      </c>
    </row>
    <row r="5" spans="1:3">
      <c r="B5" s="107"/>
      <c r="C5" s="143"/>
    </row>
    <row r="6" spans="1:3">
      <c r="A6" s="130" t="s">
        <v>2056</v>
      </c>
      <c r="B6" s="130" t="s">
        <v>699</v>
      </c>
      <c r="C6" s="130" t="s">
        <v>2057</v>
      </c>
    </row>
    <row r="7" spans="1:3">
      <c r="A7" s="298"/>
      <c r="B7" s="298"/>
      <c r="C7" s="299"/>
    </row>
    <row r="8" spans="1:3">
      <c r="A8" s="298"/>
      <c r="B8" s="298"/>
      <c r="C8" s="299"/>
    </row>
    <row r="9" spans="1:3">
      <c r="A9" s="298"/>
      <c r="B9" s="298"/>
      <c r="C9" s="299"/>
    </row>
    <row r="10" spans="1:3">
      <c r="A10" s="298"/>
      <c r="B10" s="298"/>
      <c r="C10" s="299"/>
    </row>
    <row r="11" spans="1:3">
      <c r="A11" s="298"/>
      <c r="B11" s="298"/>
      <c r="C11" s="299"/>
    </row>
    <row r="12" spans="1:3">
      <c r="A12" s="298"/>
      <c r="B12" s="298"/>
      <c r="C12" s="299"/>
    </row>
    <row r="13" spans="1:3">
      <c r="A13" s="298"/>
      <c r="B13" s="298"/>
      <c r="C13" s="299"/>
    </row>
    <row r="14" spans="1:3">
      <c r="A14" s="298"/>
      <c r="B14" s="298"/>
      <c r="C14" s="299"/>
    </row>
    <row r="15" spans="1:3">
      <c r="A15" s="298"/>
      <c r="B15" s="298"/>
      <c r="C15" s="299"/>
    </row>
    <row r="16" spans="1:3">
      <c r="A16" s="298"/>
      <c r="B16" s="298"/>
      <c r="C16" s="299"/>
    </row>
    <row r="17" spans="1:3">
      <c r="A17" s="298"/>
      <c r="B17" s="298"/>
      <c r="C17" s="299"/>
    </row>
    <row r="18" spans="1:3">
      <c r="A18" s="298"/>
      <c r="B18" s="298"/>
      <c r="C18" s="299"/>
    </row>
    <row r="19" spans="1:3">
      <c r="A19" s="298"/>
      <c r="B19" s="298"/>
      <c r="C19" s="299"/>
    </row>
    <row r="20" spans="1:3">
      <c r="A20" s="298"/>
      <c r="B20" s="298"/>
      <c r="C20" s="299"/>
    </row>
    <row r="21" spans="1:3">
      <c r="A21" s="298"/>
      <c r="B21" s="298"/>
      <c r="C21" s="299"/>
    </row>
    <row r="22" spans="1:3">
      <c r="A22" s="298"/>
      <c r="B22" s="298"/>
      <c r="C22" s="299"/>
    </row>
    <row r="23" spans="1:3">
      <c r="A23" s="298"/>
      <c r="B23" s="298"/>
      <c r="C23" s="299"/>
    </row>
    <row r="24" spans="1:3">
      <c r="A24" s="298"/>
      <c r="B24" s="298"/>
      <c r="C24" s="299"/>
    </row>
    <row r="25" spans="1:3">
      <c r="A25" s="298"/>
      <c r="B25" s="298"/>
      <c r="C25" s="299"/>
    </row>
    <row r="26" spans="1:3">
      <c r="A26" s="298"/>
      <c r="B26" s="298"/>
      <c r="C26" s="299"/>
    </row>
    <row r="27" spans="1:3">
      <c r="A27" s="298"/>
      <c r="B27" s="298"/>
      <c r="C27" s="299"/>
    </row>
    <row r="28" spans="1:3">
      <c r="A28" s="298"/>
      <c r="B28" s="298"/>
      <c r="C28" s="299"/>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xr:uid="{00000000-0004-0000-2000-000000000000}"/>
  </hyperlinks>
  <pageMargins left="0.7" right="0.7" top="0.75" bottom="0.75" header="0.3" footer="0.3"/>
  <pageSetup paperSize="178"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9"/>
  <dimension ref="A1:I42"/>
  <sheetViews>
    <sheetView workbookViewId="0"/>
  </sheetViews>
  <sheetFormatPr baseColWidth="10" defaultColWidth="11.44140625" defaultRowHeight="14.4"/>
  <cols>
    <col min="1" max="1" width="3.44140625" bestFit="1" customWidth="1"/>
    <col min="2" max="2" width="42.88671875" customWidth="1"/>
    <col min="3" max="3" width="1" customWidth="1"/>
    <col min="6" max="6" width="11.109375" customWidth="1"/>
  </cols>
  <sheetData>
    <row r="1" spans="1:9">
      <c r="A1" s="290" t="s">
        <v>741</v>
      </c>
    </row>
    <row r="2" spans="1:9">
      <c r="B2" t="s">
        <v>2058</v>
      </c>
    </row>
    <row r="3" spans="1:9">
      <c r="C3" t="s">
        <v>618</v>
      </c>
    </row>
    <row r="5" spans="1:9">
      <c r="A5" s="150" t="s">
        <v>705</v>
      </c>
      <c r="B5" s="150" t="s">
        <v>1</v>
      </c>
      <c r="C5" t="s">
        <v>618</v>
      </c>
      <c r="D5" s="258">
        <f>IF(SUM('1POMCAS'!E60:E62)=1,SUM('1POMCAS'!E60:E62),"ERROR: LA SUMA DE LA COLUMNA DEBE SER 100%")</f>
        <v>1</v>
      </c>
      <c r="E5" s="259">
        <f ca="1">IF(+'1POMCAS'!G60*'1POMCAS'!$E60+'1POMCAS'!G61*'1POMCAS'!$E61+'1POMCAS'!G62*'1POMCAS'!$E62=0,"N.A.",'1POMCAS'!G60*'1POMCAS'!$E60+'1POMCAS'!G61*'1POMCAS'!$E61+'1POMCAS'!G62*'1POMCAS'!$E62)</f>
        <v>0.90999999999999992</v>
      </c>
      <c r="F5" s="259">
        <f ca="1">IF(+'1POMCAS'!H60*'1POMCAS'!$E60+'1POMCAS'!H61*'1POMCAS'!$E61+'1POMCAS'!H62*'1POMCAS'!$E62=0,"N.A.",'1POMCAS'!H60*'1POMCAS'!$E60+'1POMCAS'!H61*'1POMCAS'!$E61+'1POMCAS'!H62*'1POMCAS'!$E62)</f>
        <v>1</v>
      </c>
      <c r="G5" s="259" t="str">
        <f ca="1">IF(+'1POMCAS'!I60*'1POMCAS'!$E60+'1POMCAS'!I61*'1POMCAS'!$E61+'1POMCAS'!I62*'1POMCAS'!$E62=0,"N.A.",'1POMCAS'!I60*'1POMCAS'!$E60+'1POMCAS'!I61*'1POMCAS'!$E61+'1POMCAS'!I62*'1POMCAS'!$E62)</f>
        <v>N.A.</v>
      </c>
      <c r="H5" s="259" t="str">
        <f ca="1">IF(+'1POMCAS'!J60*'1POMCAS'!$E60+'1POMCAS'!J61*'1POMCAS'!$E61+'1POMCAS'!J62*'1POMCAS'!$E62=0,"N.A.",'1POMCAS'!J60*'1POMCAS'!$E60+'1POMCAS'!J61*'1POMCAS'!$E61+'1POMCAS'!J62*'1POMCAS'!$E62)</f>
        <v>N.A.</v>
      </c>
      <c r="I5" s="259"/>
    </row>
    <row r="6" spans="1:9">
      <c r="A6" s="150" t="s">
        <v>706</v>
      </c>
      <c r="B6" s="150" t="s">
        <v>3</v>
      </c>
      <c r="C6" t="s">
        <v>618</v>
      </c>
      <c r="D6" s="260"/>
      <c r="E6" s="260"/>
      <c r="F6" s="260"/>
      <c r="G6" s="260"/>
      <c r="H6" s="260"/>
      <c r="I6" s="260"/>
    </row>
    <row r="7" spans="1:9">
      <c r="A7" s="150" t="s">
        <v>707</v>
      </c>
      <c r="B7" s="150" t="s">
        <v>5</v>
      </c>
      <c r="C7" t="s">
        <v>618</v>
      </c>
      <c r="D7" s="260"/>
      <c r="E7" s="260"/>
      <c r="F7" s="260"/>
      <c r="G7" s="260"/>
      <c r="H7" s="260"/>
      <c r="I7" s="260"/>
    </row>
    <row r="8" spans="1:9">
      <c r="A8" s="150" t="s">
        <v>708</v>
      </c>
      <c r="B8" s="150" t="s">
        <v>7</v>
      </c>
      <c r="C8" t="s">
        <v>618</v>
      </c>
      <c r="D8" s="260"/>
      <c r="E8" s="260"/>
      <c r="F8" s="260"/>
      <c r="G8" s="260"/>
      <c r="H8" s="260"/>
      <c r="I8" s="260"/>
    </row>
    <row r="9" spans="1:9">
      <c r="A9" s="150" t="s">
        <v>710</v>
      </c>
      <c r="B9" s="150" t="s">
        <v>9</v>
      </c>
      <c r="C9" t="s">
        <v>618</v>
      </c>
      <c r="D9" s="260"/>
      <c r="E9" s="260"/>
      <c r="F9" s="260"/>
      <c r="G9" s="260"/>
      <c r="H9" s="260"/>
      <c r="I9" s="260"/>
    </row>
    <row r="10" spans="1:9">
      <c r="A10" s="150" t="s">
        <v>711</v>
      </c>
      <c r="B10" s="150" t="s">
        <v>11</v>
      </c>
      <c r="C10" t="s">
        <v>618</v>
      </c>
      <c r="D10" s="260"/>
      <c r="E10" s="260"/>
      <c r="F10" s="260"/>
      <c r="G10" s="260"/>
      <c r="H10" s="260"/>
      <c r="I10" s="260"/>
    </row>
    <row r="11" spans="1:9">
      <c r="A11" s="150" t="s">
        <v>712</v>
      </c>
      <c r="B11" s="150" t="s">
        <v>13</v>
      </c>
      <c r="C11" t="s">
        <v>618</v>
      </c>
      <c r="D11" s="260"/>
      <c r="E11" s="260"/>
      <c r="F11" s="260"/>
      <c r="G11" s="260"/>
      <c r="H11" s="260"/>
      <c r="I11" s="260"/>
    </row>
    <row r="12" spans="1:9">
      <c r="A12" s="150" t="s">
        <v>713</v>
      </c>
      <c r="B12" s="150" t="s">
        <v>15</v>
      </c>
      <c r="C12" t="s">
        <v>618</v>
      </c>
      <c r="D12" s="260"/>
      <c r="E12" s="260"/>
      <c r="F12" s="260"/>
      <c r="G12" s="260"/>
      <c r="H12" s="260"/>
      <c r="I12" s="260"/>
    </row>
    <row r="13" spans="1:9">
      <c r="A13" s="150" t="s">
        <v>714</v>
      </c>
      <c r="B13" s="150" t="s">
        <v>17</v>
      </c>
      <c r="C13" t="s">
        <v>618</v>
      </c>
      <c r="D13" s="260"/>
      <c r="E13" s="260"/>
      <c r="F13" s="260"/>
      <c r="G13" s="260"/>
      <c r="H13" s="260"/>
      <c r="I13" s="260"/>
    </row>
    <row r="14" spans="1:9">
      <c r="A14" s="150" t="s">
        <v>715</v>
      </c>
      <c r="B14" s="150" t="s">
        <v>19</v>
      </c>
      <c r="C14" t="s">
        <v>618</v>
      </c>
      <c r="D14" s="261"/>
      <c r="E14" s="261"/>
      <c r="F14" s="261"/>
      <c r="G14" s="261"/>
      <c r="H14" s="261"/>
      <c r="I14" s="261"/>
    </row>
    <row r="15" spans="1:9">
      <c r="A15" s="150" t="s">
        <v>717</v>
      </c>
      <c r="B15" s="150" t="s">
        <v>20</v>
      </c>
      <c r="C15" t="s">
        <v>618</v>
      </c>
      <c r="D15" s="240" t="str">
        <f>IF(SUM('11Forest'!E26:E29)='11Forest'!E20,SUM('11Forest'!E26:E29),"ERROR: LA SUMA DE LA COLUMNA DEBE SER IGUAL A LA META ANUAL")</f>
        <v>ERROR: LA SUMA DE LA COLUMNA DEBE SER IGUAL A LA META ANUAL</v>
      </c>
      <c r="E15" s="240">
        <f>IF(SUM('11Forest'!F26:F29)='11Forest'!E20,SUM('11Forest'!F26:F29),"ERROR: LA SUMA DE LA COLUMNA DEBE SER IGUAL A LA META ANUAL")</f>
        <v>223571</v>
      </c>
      <c r="F15" s="240" t="str">
        <f>IF(SUM('11Forest'!G26:G29)='11Forest'!E20,SUM('11Forest'!G26:G29),"ERROR: LA SUMA DE LA COLUMNA DEBE SER IGUAL A LA META ANUAL")</f>
        <v>ERROR: LA SUMA DE LA COLUMNA DEBE SER IGUAL A LA META ANUAL</v>
      </c>
      <c r="G15" s="240" t="str">
        <f>IF(SUM('11Forest'!H26:H29)='11Forest'!E20,SUM('11Forest'!H26:H29),"ERROR: LA SUMA DE LA COLUMNA DEBE SER IGUAL A LA META ANUAL")</f>
        <v>ERROR: LA SUMA DE LA COLUMNA DEBE SER IGUAL A LA META ANUAL</v>
      </c>
      <c r="H15" s="240"/>
      <c r="I15" s="240" t="str">
        <f>IF(SUM('11Forest'!E25:H25)='11Forest'!E20,SUM('11Forest'!E25:H25),"ERROR: LA SUMA DE LA COLUMNA DEBE SER IGUAL A LA META ANUAL")</f>
        <v>ERROR: LA SUMA DE LA COLUMNA DEBE SER IGUAL A LA META ANUAL</v>
      </c>
    </row>
    <row r="16" spans="1:9">
      <c r="A16" s="150" t="s">
        <v>718</v>
      </c>
      <c r="B16" s="150" t="s">
        <v>21</v>
      </c>
      <c r="C16" t="s">
        <v>618</v>
      </c>
      <c r="D16" s="262"/>
      <c r="E16" s="262"/>
      <c r="F16" s="262"/>
      <c r="G16" s="262"/>
      <c r="H16" s="262"/>
      <c r="I16" s="262"/>
    </row>
    <row r="17" spans="1:9">
      <c r="A17" s="150" t="s">
        <v>719</v>
      </c>
      <c r="B17" s="150" t="s">
        <v>22</v>
      </c>
      <c r="C17" t="s">
        <v>618</v>
      </c>
      <c r="D17" s="260"/>
      <c r="E17" s="260"/>
      <c r="F17" s="260"/>
      <c r="G17" s="260"/>
      <c r="H17" s="260"/>
      <c r="I17" s="260"/>
    </row>
    <row r="18" spans="1:9">
      <c r="A18" s="150" t="s">
        <v>721</v>
      </c>
      <c r="B18" s="150" t="s">
        <v>23</v>
      </c>
      <c r="C18" t="s">
        <v>618</v>
      </c>
      <c r="D18" s="260"/>
      <c r="E18" s="260"/>
      <c r="F18" s="260"/>
      <c r="G18" s="260"/>
      <c r="H18" s="260"/>
      <c r="I18" s="260"/>
    </row>
    <row r="19" spans="1:9">
      <c r="A19" s="150" t="s">
        <v>722</v>
      </c>
      <c r="B19" s="150" t="s">
        <v>24</v>
      </c>
      <c r="C19" t="s">
        <v>618</v>
      </c>
      <c r="D19" s="260"/>
      <c r="E19" s="260"/>
      <c r="F19" s="260"/>
      <c r="G19" s="260"/>
      <c r="H19" s="260"/>
      <c r="I19" s="260"/>
    </row>
    <row r="20" spans="1:9">
      <c r="A20" s="150" t="s">
        <v>723</v>
      </c>
      <c r="B20" s="150" t="s">
        <v>25</v>
      </c>
      <c r="C20" t="s">
        <v>618</v>
      </c>
      <c r="D20" s="258">
        <f>IF(SUM('16MIZC'!H22:H25)=1,SUM('16MIZC'!H22:H25),"ERROR: LA SUMA DE LA COLUMNA DEBE SER 100%")</f>
        <v>1</v>
      </c>
      <c r="E20" s="263">
        <f>SUM('16MIZC'!I22:I25)</f>
        <v>1</v>
      </c>
      <c r="F20" s="260"/>
      <c r="G20" s="260"/>
      <c r="H20" s="260"/>
      <c r="I20" s="260"/>
    </row>
    <row r="21" spans="1:9">
      <c r="A21" s="150" t="s">
        <v>724</v>
      </c>
      <c r="B21" s="150" t="s">
        <v>26</v>
      </c>
      <c r="C21" t="s">
        <v>618</v>
      </c>
      <c r="D21" s="260"/>
      <c r="E21" s="260"/>
      <c r="F21" s="260"/>
      <c r="G21" s="260"/>
      <c r="H21" s="260"/>
      <c r="I21" s="260"/>
    </row>
    <row r="22" spans="1:9">
      <c r="A22" s="150" t="s">
        <v>725</v>
      </c>
      <c r="B22" s="150" t="s">
        <v>27</v>
      </c>
      <c r="C22" t="s">
        <v>618</v>
      </c>
      <c r="D22" s="258">
        <f>IF(SUM('18Sector'!D34:D38)=1,SUM('18Sector'!D34:D38),"ERROR: LA SUMA DE LA COLUMNA DEBE SER 100%")</f>
        <v>1</v>
      </c>
      <c r="E22" s="260"/>
      <c r="F22" s="260"/>
      <c r="G22" s="260"/>
      <c r="H22" s="260"/>
      <c r="I22" s="260"/>
    </row>
    <row r="23" spans="1:9">
      <c r="A23" s="150" t="s">
        <v>726</v>
      </c>
      <c r="B23" s="150" t="s">
        <v>28</v>
      </c>
      <c r="C23" t="s">
        <v>618</v>
      </c>
      <c r="D23" s="258" t="str">
        <f>IF(SUM('19GAU'!H25:H35)=1,SUM('19GAU'!H25:H35),"ERROR: LA SUMA DE LA COLUMNA DEBE SER 100%")</f>
        <v>ERROR: LA SUMA DE LA COLUMNA DEBE SER 100%</v>
      </c>
      <c r="E23" s="263">
        <f>SUM('19GAU'!I22:I35)</f>
        <v>0.9998999999999999</v>
      </c>
      <c r="F23" s="260"/>
      <c r="G23" s="260"/>
      <c r="H23" s="260"/>
      <c r="I23" s="260"/>
    </row>
    <row r="24" spans="1:9">
      <c r="A24" s="150" t="s">
        <v>727</v>
      </c>
      <c r="B24" s="150" t="s">
        <v>29</v>
      </c>
      <c r="C24" t="s">
        <v>618</v>
      </c>
      <c r="D24" s="258">
        <f>IF(SUM('20Negoc'!D33:D35)=1,SUM('20Negoc'!D33:D35),"ERROR: LA SUMA DE LA COLUMNA DEBE SER 100%")</f>
        <v>1</v>
      </c>
      <c r="E24" s="264">
        <f>+'20Negoc'!J27/'20Negoc'!I27</f>
        <v>1</v>
      </c>
      <c r="F24" s="264">
        <f>+'20Negoc'!K27/'20Negoc'!J27</f>
        <v>0.96454049002849007</v>
      </c>
      <c r="G24" s="260"/>
      <c r="H24" s="260"/>
      <c r="I24" s="260"/>
    </row>
    <row r="25" spans="1:9">
      <c r="A25" s="150" t="s">
        <v>728</v>
      </c>
      <c r="B25" s="150" t="s">
        <v>30</v>
      </c>
      <c r="C25" t="s">
        <v>618</v>
      </c>
      <c r="D25" s="260"/>
      <c r="E25" s="260"/>
      <c r="F25" s="260"/>
      <c r="G25" s="260"/>
      <c r="H25" s="260"/>
      <c r="I25" s="260"/>
    </row>
    <row r="26" spans="1:9">
      <c r="A26" s="150" t="s">
        <v>729</v>
      </c>
      <c r="B26" s="150" t="s">
        <v>31</v>
      </c>
      <c r="C26" t="s">
        <v>618</v>
      </c>
      <c r="D26" s="258">
        <f>IF(SUM('22Autor'!F111:F115)=1,SUM('22Autor'!F111:F115),"ERROR: LA SUMA DE LA COLUMNA DEBE SER 100%")</f>
        <v>1</v>
      </c>
      <c r="E26" s="260"/>
      <c r="F26" s="260"/>
      <c r="G26" s="260"/>
      <c r="H26" s="260"/>
      <c r="I26" s="260"/>
    </row>
    <row r="27" spans="1:9">
      <c r="A27" s="150" t="s">
        <v>730</v>
      </c>
      <c r="B27" s="150" t="s">
        <v>32</v>
      </c>
      <c r="C27" t="s">
        <v>618</v>
      </c>
      <c r="D27" s="260"/>
      <c r="E27" s="260"/>
      <c r="F27" s="260"/>
      <c r="G27" s="260"/>
      <c r="H27" s="260"/>
      <c r="I27" s="260"/>
    </row>
    <row r="28" spans="1:9" ht="15" thickBot="1">
      <c r="A28" s="150" t="s">
        <v>731</v>
      </c>
      <c r="B28" s="150" t="s">
        <v>33</v>
      </c>
      <c r="C28" t="s">
        <v>618</v>
      </c>
      <c r="D28" s="260"/>
      <c r="E28" s="260"/>
      <c r="F28" s="260"/>
      <c r="G28" s="260"/>
      <c r="H28" s="260"/>
      <c r="I28" s="260"/>
    </row>
    <row r="29" spans="1:9" ht="15" thickBot="1">
      <c r="A29" s="150" t="s">
        <v>732</v>
      </c>
      <c r="B29" s="150" t="s">
        <v>34</v>
      </c>
      <c r="C29" t="s">
        <v>618</v>
      </c>
      <c r="D29" s="251" t="str">
        <f>IF(SUM('25Redes'!F79:F80)=1,"","ERROR: LA SUMA DE LAS PONDERACIONES DEBE SER 100%")</f>
        <v/>
      </c>
      <c r="E29" s="258" t="e">
        <f>+'25Redes'!E79*'25Redes'!F79+'25Redes'!E80*'25Redes'!F80</f>
        <v>#VALUE!</v>
      </c>
      <c r="F29" s="260"/>
      <c r="G29" s="260"/>
      <c r="H29" s="260"/>
      <c r="I29" s="260"/>
    </row>
    <row r="30" spans="1:9">
      <c r="A30" s="150" t="s">
        <v>733</v>
      </c>
      <c r="B30" s="150" t="s">
        <v>35</v>
      </c>
      <c r="C30" t="s">
        <v>618</v>
      </c>
      <c r="D30" s="260"/>
      <c r="E30" s="260"/>
      <c r="F30" s="260"/>
      <c r="G30" s="260"/>
      <c r="H30" s="260"/>
      <c r="I30" s="260"/>
    </row>
    <row r="31" spans="1:9">
      <c r="A31" s="150" t="s">
        <v>734</v>
      </c>
      <c r="B31" s="150" t="s">
        <v>36</v>
      </c>
      <c r="C31" t="s">
        <v>618</v>
      </c>
      <c r="D31" s="258">
        <f>IF(SUM('27Educa'!D51:D71)=1,SUM('27Educa'!D51:D71),"ERROR: LA SUMA DE LA COLUMNA DEBE SER 100%")</f>
        <v>1.0000000000000002</v>
      </c>
      <c r="E31" s="260"/>
      <c r="F31" s="260"/>
      <c r="G31" s="260"/>
      <c r="H31" s="260"/>
      <c r="I31" s="260"/>
    </row>
    <row r="32" spans="1:9">
      <c r="C32" t="s">
        <v>618</v>
      </c>
    </row>
    <row r="33" spans="3:6">
      <c r="C33" t="s">
        <v>618</v>
      </c>
      <c r="D33" s="291" t="s">
        <v>743</v>
      </c>
      <c r="F33" s="295" t="s">
        <v>744</v>
      </c>
    </row>
    <row r="34" spans="3:6">
      <c r="C34" t="s">
        <v>618</v>
      </c>
      <c r="D34" s="291" t="s">
        <v>716</v>
      </c>
      <c r="F34" s="295" t="s">
        <v>898</v>
      </c>
    </row>
    <row r="35" spans="3:6">
      <c r="C35" t="s">
        <v>618</v>
      </c>
    </row>
    <row r="36" spans="3:6">
      <c r="C36" t="s">
        <v>618</v>
      </c>
    </row>
    <row r="37" spans="3:6">
      <c r="C37" t="s">
        <v>618</v>
      </c>
    </row>
    <row r="38" spans="3:6">
      <c r="C38" t="s">
        <v>618</v>
      </c>
    </row>
    <row r="39" spans="3:6">
      <c r="C39" t="s">
        <v>618</v>
      </c>
    </row>
    <row r="40" spans="3:6">
      <c r="C40" t="s">
        <v>618</v>
      </c>
    </row>
    <row r="41" spans="3:6">
      <c r="C41" t="s">
        <v>618</v>
      </c>
    </row>
    <row r="42" spans="3:6">
      <c r="C42" t="s">
        <v>618</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5">
    <cfRule type="containsText" dxfId="6" priority="11" operator="containsText" text="ERROR">
      <formula>NOT(ISERROR(SEARCH("ERROR",D5)))</formula>
    </cfRule>
  </conditionalFormatting>
  <conditionalFormatting sqref="D20">
    <cfRule type="containsText" dxfId="5" priority="10" operator="containsText" text="ERROR">
      <formula>NOT(ISERROR(SEARCH("ERROR",D20)))</formula>
    </cfRule>
  </conditionalFormatting>
  <conditionalFormatting sqref="D22:D24">
    <cfRule type="containsText" dxfId="4" priority="7" operator="containsText" text="ERROR">
      <formula>NOT(ISERROR(SEARCH("ERROR",D22)))</formula>
    </cfRule>
  </conditionalFormatting>
  <conditionalFormatting sqref="D26">
    <cfRule type="containsText" dxfId="3" priority="2" operator="containsText" text="ERROR">
      <formula>NOT(ISERROR(SEARCH("ERROR",D26)))</formula>
    </cfRule>
  </conditionalFormatting>
  <conditionalFormatting sqref="D29">
    <cfRule type="containsText" dxfId="2" priority="3" operator="containsText" text="ERROR">
      <formula>NOT(ISERROR(SEARCH("ERROR",D29)))</formula>
    </cfRule>
  </conditionalFormatting>
  <conditionalFormatting sqref="D31">
    <cfRule type="containsText" dxfId="1" priority="12" operator="containsText" text="ERROR">
      <formula>NOT(ISERROR(SEARCH("ERROR",D31)))</formula>
    </cfRule>
  </conditionalFormatting>
  <conditionalFormatting sqref="D15:I15">
    <cfRule type="containsText" dxfId="0" priority="1" operator="containsText" text="ERROR">
      <formula>NOT(ISERROR(SEARCH("ERROR",D15)))</formula>
    </cfRule>
  </conditionalFormatting>
  <hyperlinks>
    <hyperlink ref="A1" location="'ANEXO 3'!A1" display="VOLVER AL INDICE" xr:uid="{00000000-0004-0000-2100-000000000000}"/>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8"/>
  <sheetViews>
    <sheetView workbookViewId="0">
      <selection activeCell="G8" sqref="G8"/>
    </sheetView>
  </sheetViews>
  <sheetFormatPr baseColWidth="10" defaultColWidth="11.44140625" defaultRowHeight="14.4"/>
  <cols>
    <col min="1" max="1" width="0.6640625" customWidth="1"/>
    <col min="2" max="2" width="44.33203125" customWidth="1"/>
    <col min="3" max="3" width="65.88671875" customWidth="1"/>
    <col min="7" max="7" width="11.44140625" customWidth="1"/>
    <col min="8" max="8" width="15.44140625" hidden="1" customWidth="1"/>
    <col min="9" max="9" width="11.44140625" customWidth="1"/>
  </cols>
  <sheetData>
    <row r="1" spans="1:18" s="304" customFormat="1" ht="130.5" customHeight="1" thickBot="1">
      <c r="A1" s="315"/>
      <c r="B1" s="316"/>
      <c r="C1" s="317"/>
      <c r="D1"/>
      <c r="E1"/>
      <c r="F1"/>
      <c r="G1"/>
      <c r="H1"/>
      <c r="I1"/>
      <c r="J1"/>
      <c r="K1"/>
      <c r="L1"/>
      <c r="M1"/>
      <c r="N1"/>
      <c r="O1"/>
      <c r="P1"/>
      <c r="Q1"/>
      <c r="R1"/>
    </row>
    <row r="2" spans="1:18" s="305" customFormat="1" ht="39.75" customHeight="1" thickBot="1">
      <c r="A2" s="2336" t="s">
        <v>518</v>
      </c>
      <c r="B2" s="2337"/>
      <c r="C2" s="2338"/>
      <c r="D2"/>
      <c r="E2"/>
      <c r="F2"/>
      <c r="G2"/>
      <c r="H2"/>
      <c r="I2"/>
      <c r="J2"/>
      <c r="K2"/>
      <c r="L2"/>
      <c r="M2"/>
      <c r="N2"/>
      <c r="O2"/>
      <c r="P2"/>
      <c r="Q2"/>
      <c r="R2"/>
    </row>
    <row r="4" spans="1:18" ht="15" thickBot="1"/>
    <row r="5" spans="1:18" s="306" customFormat="1" ht="23.25" customHeight="1">
      <c r="B5" s="307" t="s">
        <v>519</v>
      </c>
      <c r="C5" s="909" t="s">
        <v>520</v>
      </c>
      <c r="H5" s="306" t="s">
        <v>521</v>
      </c>
    </row>
    <row r="6" spans="1:18" s="306" customFormat="1" ht="23.25" customHeight="1">
      <c r="B6" s="308" t="s">
        <v>522</v>
      </c>
      <c r="C6" s="309" t="s">
        <v>583</v>
      </c>
      <c r="H6" s="306" t="s">
        <v>524</v>
      </c>
    </row>
    <row r="7" spans="1:18" s="306" customFormat="1" ht="23.25" customHeight="1">
      <c r="B7" s="308" t="s">
        <v>525</v>
      </c>
      <c r="C7" s="309" t="s">
        <v>526</v>
      </c>
      <c r="H7" s="306" t="s">
        <v>527</v>
      </c>
    </row>
    <row r="8" spans="1:18" s="306" customFormat="1" ht="23.25" customHeight="1">
      <c r="B8" s="308" t="s">
        <v>528</v>
      </c>
      <c r="C8" s="309" t="s">
        <v>529</v>
      </c>
      <c r="H8" s="306" t="s">
        <v>530</v>
      </c>
    </row>
    <row r="9" spans="1:18" s="306" customFormat="1" ht="23.25" customHeight="1">
      <c r="B9" s="308" t="s">
        <v>531</v>
      </c>
      <c r="C9" s="309" t="s">
        <v>532</v>
      </c>
      <c r="H9" s="306" t="s">
        <v>533</v>
      </c>
    </row>
    <row r="10" spans="1:18" s="306" customFormat="1" ht="23.25" customHeight="1">
      <c r="B10" s="308" t="s">
        <v>534</v>
      </c>
      <c r="C10" s="428" t="s">
        <v>535</v>
      </c>
      <c r="H10" s="306" t="s">
        <v>536</v>
      </c>
    </row>
    <row r="11" spans="1:18" s="306" customFormat="1" ht="23.25" customHeight="1" thickBot="1">
      <c r="B11" s="310" t="s">
        <v>537</v>
      </c>
      <c r="C11" s="311" t="s">
        <v>538</v>
      </c>
      <c r="H11" s="306" t="s">
        <v>539</v>
      </c>
    </row>
    <row r="12" spans="1:18">
      <c r="H12" t="s">
        <v>540</v>
      </c>
    </row>
    <row r="13" spans="1:18">
      <c r="H13" t="s">
        <v>541</v>
      </c>
    </row>
    <row r="14" spans="1:18">
      <c r="H14" t="s">
        <v>542</v>
      </c>
    </row>
    <row r="15" spans="1:18">
      <c r="H15" t="s">
        <v>543</v>
      </c>
    </row>
    <row r="16" spans="1:18">
      <c r="H16" t="s">
        <v>544</v>
      </c>
    </row>
    <row r="17" spans="8:8">
      <c r="H17" t="s">
        <v>545</v>
      </c>
    </row>
    <row r="18" spans="8:8">
      <c r="H18" t="s">
        <v>546</v>
      </c>
    </row>
    <row r="19" spans="8:8">
      <c r="H19" t="s">
        <v>547</v>
      </c>
    </row>
    <row r="20" spans="8:8">
      <c r="H20" t="s">
        <v>548</v>
      </c>
    </row>
    <row r="21" spans="8:8">
      <c r="H21" t="s">
        <v>549</v>
      </c>
    </row>
    <row r="22" spans="8:8">
      <c r="H22" t="s">
        <v>550</v>
      </c>
    </row>
    <row r="23" spans="8:8">
      <c r="H23" t="s">
        <v>551</v>
      </c>
    </row>
    <row r="24" spans="8:8">
      <c r="H24" t="s">
        <v>552</v>
      </c>
    </row>
    <row r="25" spans="8:8">
      <c r="H25" t="s">
        <v>553</v>
      </c>
    </row>
    <row r="26" spans="8:8">
      <c r="H26" t="s">
        <v>554</v>
      </c>
    </row>
    <row r="27" spans="8:8">
      <c r="H27" t="s">
        <v>555</v>
      </c>
    </row>
    <row r="28" spans="8:8">
      <c r="H28" t="s">
        <v>556</v>
      </c>
    </row>
    <row r="29" spans="8:8">
      <c r="H29" t="s">
        <v>557</v>
      </c>
    </row>
    <row r="30" spans="8:8">
      <c r="H30" t="s">
        <v>558</v>
      </c>
    </row>
    <row r="31" spans="8:8">
      <c r="H31" t="s">
        <v>559</v>
      </c>
    </row>
    <row r="32" spans="8:8">
      <c r="H32" t="s">
        <v>520</v>
      </c>
    </row>
    <row r="33" spans="8:8">
      <c r="H33" t="s">
        <v>560</v>
      </c>
    </row>
    <row r="34" spans="8:8">
      <c r="H34" t="s">
        <v>561</v>
      </c>
    </row>
    <row r="35" spans="8:8">
      <c r="H35" t="s">
        <v>562</v>
      </c>
    </row>
    <row r="36" spans="8:8">
      <c r="H36" t="s">
        <v>563</v>
      </c>
    </row>
    <row r="37" spans="8:8">
      <c r="H37" t="s">
        <v>564</v>
      </c>
    </row>
    <row r="39" spans="8:8">
      <c r="H39" t="s">
        <v>565</v>
      </c>
    </row>
    <row r="40" spans="8:8">
      <c r="H40" t="s">
        <v>566</v>
      </c>
    </row>
    <row r="41" spans="8:8">
      <c r="H41" t="s">
        <v>567</v>
      </c>
    </row>
    <row r="42" spans="8:8">
      <c r="H42" t="s">
        <v>568</v>
      </c>
    </row>
    <row r="43" spans="8:8">
      <c r="H43" t="s">
        <v>569</v>
      </c>
    </row>
    <row r="44" spans="8:8">
      <c r="H44" t="s">
        <v>570</v>
      </c>
    </row>
    <row r="45" spans="8:8">
      <c r="H45" t="s">
        <v>571</v>
      </c>
    </row>
    <row r="46" spans="8:8">
      <c r="H46" t="s">
        <v>572</v>
      </c>
    </row>
    <row r="47" spans="8:8">
      <c r="H47" t="s">
        <v>573</v>
      </c>
    </row>
    <row r="48" spans="8:8">
      <c r="H48" t="s">
        <v>574</v>
      </c>
    </row>
    <row r="49" spans="8:8">
      <c r="H49" t="s">
        <v>575</v>
      </c>
    </row>
    <row r="50" spans="8:8">
      <c r="H50" t="s">
        <v>576</v>
      </c>
    </row>
    <row r="51" spans="8:8">
      <c r="H51" t="s">
        <v>577</v>
      </c>
    </row>
    <row r="52" spans="8:8">
      <c r="H52" t="s">
        <v>578</v>
      </c>
    </row>
    <row r="53" spans="8:8">
      <c r="H53" t="s">
        <v>579</v>
      </c>
    </row>
    <row r="54" spans="8:8">
      <c r="H54" t="s">
        <v>580</v>
      </c>
    </row>
    <row r="55" spans="8:8">
      <c r="H55" t="s">
        <v>581</v>
      </c>
    </row>
    <row r="56" spans="8:8">
      <c r="H56" t="s">
        <v>523</v>
      </c>
    </row>
    <row r="57" spans="8:8">
      <c r="H57" t="s">
        <v>582</v>
      </c>
    </row>
    <row r="58" spans="8:8">
      <c r="H58" t="s">
        <v>583</v>
      </c>
    </row>
  </sheetData>
  <mergeCells count="1">
    <mergeCell ref="A2:C2"/>
  </mergeCells>
  <dataValidations count="2">
    <dataValidation type="list" allowBlank="1" showInputMessage="1" showErrorMessage="1" prompt="Seleccione el perido a reportar" sqref="C6" xr:uid="{00000000-0002-0000-0300-000000000000}">
      <formula1>$H$39:$H$58</formula1>
    </dataValidation>
    <dataValidation type="list" allowBlank="1" showInputMessage="1" showErrorMessage="1" prompt="Seleccione la CAR de la cual incorporara la información" sqref="C5" xr:uid="{00000000-0002-0000-0300-000001000000}">
      <formula1>Lista_CAR</formula1>
    </dataValidation>
  </dataValidations>
  <hyperlinks>
    <hyperlink ref="C10" r:id="rId1" display="gescaf@crautonoma.gov.co" xr:uid="{00000000-0004-0000-0300-000000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F6D6A-8C55-4754-A24D-B6816B41D8D9}">
  <sheetPr>
    <pageSetUpPr fitToPage="1"/>
  </sheetPr>
  <dimension ref="A1:B44"/>
  <sheetViews>
    <sheetView workbookViewId="0">
      <selection activeCell="A14" sqref="A14"/>
    </sheetView>
  </sheetViews>
  <sheetFormatPr baseColWidth="10" defaultColWidth="11.44140625" defaultRowHeight="13.2"/>
  <cols>
    <col min="1" max="1" width="47.44140625" style="698" customWidth="1"/>
    <col min="2" max="2" width="68.44140625" style="698" customWidth="1"/>
    <col min="3" max="16384" width="11.44140625" style="698"/>
  </cols>
  <sheetData>
    <row r="1" spans="1:2" ht="90.6" customHeight="1" thickBot="1">
      <c r="A1" s="2339"/>
      <c r="B1" s="2339"/>
    </row>
    <row r="2" spans="1:2" ht="27" customHeight="1" thickBot="1">
      <c r="A2" s="2340" t="s">
        <v>624</v>
      </c>
      <c r="B2" s="2341"/>
    </row>
    <row r="3" spans="1:2" ht="24.75" customHeight="1" thickBot="1">
      <c r="A3" s="2342" t="s">
        <v>487</v>
      </c>
      <c r="B3" s="2343"/>
    </row>
    <row r="4" spans="1:2">
      <c r="A4" s="699" t="s">
        <v>625</v>
      </c>
      <c r="B4" s="699" t="s">
        <v>489</v>
      </c>
    </row>
    <row r="5" spans="1:2" ht="33" customHeight="1">
      <c r="A5" s="700" t="s">
        <v>2105</v>
      </c>
      <c r="B5" s="701" t="s">
        <v>626</v>
      </c>
    </row>
    <row r="6" spans="1:2">
      <c r="A6" s="700" t="s">
        <v>584</v>
      </c>
      <c r="B6" s="701" t="s">
        <v>627</v>
      </c>
    </row>
    <row r="7" spans="1:2" ht="34.5" customHeight="1">
      <c r="A7" s="700" t="s">
        <v>628</v>
      </c>
      <c r="B7" s="701" t="s">
        <v>629</v>
      </c>
    </row>
    <row r="8" spans="1:2" ht="26.25" customHeight="1">
      <c r="A8" s="700" t="s">
        <v>630</v>
      </c>
      <c r="B8" s="701" t="s">
        <v>631</v>
      </c>
    </row>
    <row r="9" spans="1:2" ht="32.25" customHeight="1">
      <c r="A9" s="700" t="s">
        <v>632</v>
      </c>
      <c r="B9" s="701" t="s">
        <v>633</v>
      </c>
    </row>
    <row r="10" spans="1:2" ht="32.25" customHeight="1">
      <c r="A10" s="700" t="s">
        <v>634</v>
      </c>
      <c r="B10" s="701" t="s">
        <v>635</v>
      </c>
    </row>
    <row r="11" spans="1:2" ht="57.75" customHeight="1">
      <c r="A11" s="700" t="s">
        <v>636</v>
      </c>
      <c r="B11" s="701" t="s">
        <v>637</v>
      </c>
    </row>
    <row r="12" spans="1:2" ht="21" customHeight="1">
      <c r="A12" s="700" t="s">
        <v>638</v>
      </c>
      <c r="B12" s="701" t="s">
        <v>639</v>
      </c>
    </row>
    <row r="13" spans="1:2" ht="21" customHeight="1">
      <c r="A13" s="700" t="s">
        <v>585</v>
      </c>
      <c r="B13" s="701" t="s">
        <v>640</v>
      </c>
    </row>
    <row r="14" spans="1:2" ht="21" customHeight="1">
      <c r="A14" s="700" t="s">
        <v>586</v>
      </c>
      <c r="B14" s="701" t="s">
        <v>641</v>
      </c>
    </row>
    <row r="15" spans="1:2" ht="21" customHeight="1">
      <c r="A15" s="700" t="s">
        <v>587</v>
      </c>
      <c r="B15" s="701" t="s">
        <v>642</v>
      </c>
    </row>
    <row r="16" spans="1:2" ht="21" customHeight="1">
      <c r="A16" s="700" t="s">
        <v>588</v>
      </c>
      <c r="B16" s="701" t="s">
        <v>643</v>
      </c>
    </row>
    <row r="17" spans="1:2" ht="21" customHeight="1">
      <c r="A17" s="700" t="s">
        <v>589</v>
      </c>
      <c r="B17" s="701" t="s">
        <v>644</v>
      </c>
    </row>
    <row r="18" spans="1:2" ht="21.75" customHeight="1">
      <c r="A18" s="700" t="s">
        <v>645</v>
      </c>
      <c r="B18" s="701" t="s">
        <v>646</v>
      </c>
    </row>
    <row r="19" spans="1:2" ht="21.75" customHeight="1">
      <c r="A19" s="700" t="s">
        <v>647</v>
      </c>
      <c r="B19" s="701" t="s">
        <v>648</v>
      </c>
    </row>
    <row r="20" spans="1:2" ht="21" customHeight="1">
      <c r="A20" s="700" t="s">
        <v>649</v>
      </c>
      <c r="B20" s="701" t="s">
        <v>650</v>
      </c>
    </row>
    <row r="21" spans="1:2" ht="85.5" customHeight="1">
      <c r="A21" s="700" t="s">
        <v>651</v>
      </c>
      <c r="B21" s="702" t="s">
        <v>652</v>
      </c>
    </row>
    <row r="22" spans="1:2" ht="36.75" customHeight="1">
      <c r="A22" s="700" t="s">
        <v>590</v>
      </c>
      <c r="B22" s="701" t="s">
        <v>653</v>
      </c>
    </row>
    <row r="23" spans="1:2" ht="30" customHeight="1">
      <c r="A23" s="700" t="s">
        <v>654</v>
      </c>
      <c r="B23" s="703" t="s">
        <v>655</v>
      </c>
    </row>
    <row r="24" spans="1:2" ht="39" customHeight="1">
      <c r="A24" s="700" t="s">
        <v>656</v>
      </c>
      <c r="B24" s="701" t="s">
        <v>657</v>
      </c>
    </row>
    <row r="25" spans="1:2" ht="22.5" customHeight="1">
      <c r="A25" s="700" t="s">
        <v>658</v>
      </c>
      <c r="B25" s="701" t="s">
        <v>659</v>
      </c>
    </row>
    <row r="26" spans="1:2" ht="37.5" customHeight="1">
      <c r="A26" s="700" t="s">
        <v>591</v>
      </c>
      <c r="B26" s="701" t="s">
        <v>660</v>
      </c>
    </row>
    <row r="27" spans="1:2" ht="22.5" customHeight="1">
      <c r="A27" s="700" t="s">
        <v>661</v>
      </c>
      <c r="B27" s="701" t="s">
        <v>662</v>
      </c>
    </row>
    <row r="28" spans="1:2" ht="27" customHeight="1">
      <c r="A28" s="700" t="s">
        <v>663</v>
      </c>
      <c r="B28" s="701" t="s">
        <v>664</v>
      </c>
    </row>
    <row r="29" spans="1:2" ht="22.5" customHeight="1">
      <c r="A29" s="700" t="s">
        <v>665</v>
      </c>
      <c r="B29" s="701" t="s">
        <v>666</v>
      </c>
    </row>
    <row r="30" spans="1:2" ht="22.5" customHeight="1">
      <c r="A30" s="700" t="s">
        <v>667</v>
      </c>
      <c r="B30" s="701" t="s">
        <v>668</v>
      </c>
    </row>
    <row r="31" spans="1:2" ht="22.5" customHeight="1">
      <c r="A31" s="700" t="s">
        <v>669</v>
      </c>
      <c r="B31" s="701" t="s">
        <v>670</v>
      </c>
    </row>
    <row r="32" spans="1:2" ht="22.5" customHeight="1">
      <c r="A32" s="700" t="s">
        <v>671</v>
      </c>
      <c r="B32" s="701" t="s">
        <v>672</v>
      </c>
    </row>
    <row r="33" spans="1:2" ht="22.5" customHeight="1">
      <c r="A33" s="700" t="s">
        <v>673</v>
      </c>
      <c r="B33" s="701" t="s">
        <v>670</v>
      </c>
    </row>
    <row r="34" spans="1:2" ht="22.5" customHeight="1">
      <c r="A34" s="700" t="s">
        <v>674</v>
      </c>
      <c r="B34" s="701" t="s">
        <v>675</v>
      </c>
    </row>
    <row r="35" spans="1:2" ht="22.5" customHeight="1">
      <c r="A35" s="700" t="s">
        <v>676</v>
      </c>
      <c r="B35" s="701" t="s">
        <v>677</v>
      </c>
    </row>
    <row r="36" spans="1:2" ht="21.75" customHeight="1">
      <c r="A36" s="700" t="s">
        <v>678</v>
      </c>
      <c r="B36" s="701" t="s">
        <v>679</v>
      </c>
    </row>
    <row r="37" spans="1:2" ht="25.5" customHeight="1">
      <c r="A37" s="700" t="s">
        <v>680</v>
      </c>
      <c r="B37" s="701" t="s">
        <v>681</v>
      </c>
    </row>
    <row r="38" spans="1:2" ht="25.5" customHeight="1">
      <c r="A38" s="700" t="s">
        <v>682</v>
      </c>
      <c r="B38" s="701" t="s">
        <v>683</v>
      </c>
    </row>
    <row r="39" spans="1:2" ht="25.5" customHeight="1">
      <c r="A39" s="700" t="s">
        <v>684</v>
      </c>
      <c r="B39" s="701" t="s">
        <v>685</v>
      </c>
    </row>
    <row r="40" spans="1:2" ht="25.5" customHeight="1">
      <c r="A40" s="700" t="s">
        <v>686</v>
      </c>
      <c r="B40" s="701" t="s">
        <v>687</v>
      </c>
    </row>
    <row r="41" spans="1:2" ht="21" customHeight="1">
      <c r="A41" s="700" t="s">
        <v>688</v>
      </c>
      <c r="B41" s="701" t="s">
        <v>689</v>
      </c>
    </row>
    <row r="42" spans="1:2" ht="21" customHeight="1" thickBot="1">
      <c r="A42" s="704" t="s">
        <v>690</v>
      </c>
      <c r="B42" s="705" t="s">
        <v>691</v>
      </c>
    </row>
    <row r="43" spans="1:2" ht="21" customHeight="1" thickBot="1">
      <c r="A43" s="704" t="s">
        <v>692</v>
      </c>
      <c r="B43" s="705" t="s">
        <v>693</v>
      </c>
    </row>
    <row r="44" spans="1:2" ht="24" customHeight="1" thickBot="1">
      <c r="A44" s="704" t="s">
        <v>694</v>
      </c>
      <c r="B44" s="705" t="s">
        <v>695</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37"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B80C0-4881-48D5-8634-508CEF8C7CBA}">
  <dimension ref="A1:BR1000"/>
  <sheetViews>
    <sheetView tabSelected="1" topLeftCell="J1" zoomScale="90" zoomScaleNormal="90" workbookViewId="0">
      <selection activeCell="P284" sqref="P284"/>
    </sheetView>
  </sheetViews>
  <sheetFormatPr baseColWidth="10" defaultColWidth="14.44140625" defaultRowHeight="15" customHeight="1"/>
  <cols>
    <col min="1" max="1" width="67.77734375" customWidth="1"/>
    <col min="2" max="2" width="35" customWidth="1"/>
    <col min="3" max="3" width="18.109375" customWidth="1"/>
    <col min="4" max="15" width="11.33203125" customWidth="1"/>
    <col min="16" max="16" width="13" customWidth="1"/>
    <col min="17" max="17" width="20.88671875" customWidth="1"/>
    <col min="18" max="19" width="15.44140625" customWidth="1"/>
    <col min="20" max="20" width="44.109375" customWidth="1"/>
    <col min="21" max="21" width="23.44140625" customWidth="1"/>
    <col min="22" max="22" width="21" customWidth="1"/>
    <col min="23" max="23" width="19.44140625" customWidth="1"/>
    <col min="24" max="24" width="25.77734375" customWidth="1"/>
    <col min="25" max="25" width="17.77734375" customWidth="1"/>
    <col min="26" max="29" width="9" customWidth="1"/>
    <col min="30" max="30" width="23.6640625" customWidth="1"/>
    <col min="31" max="31" width="23.21875" customWidth="1"/>
    <col min="32" max="32" width="24.21875" customWidth="1"/>
    <col min="33" max="33" width="19.6640625" customWidth="1"/>
    <col min="34" max="37" width="25.109375" customWidth="1"/>
    <col min="38" max="41" width="24.44140625" customWidth="1"/>
    <col min="42" max="42" width="28.6640625" customWidth="1"/>
    <col min="43" max="43" width="31.21875" customWidth="1"/>
    <col min="44" max="45" width="20.109375" customWidth="1"/>
    <col min="46" max="49" width="25.6640625" customWidth="1"/>
    <col min="50" max="50" width="27.5546875" style="2297" customWidth="1"/>
    <col min="51" max="51" width="26.44140625" customWidth="1"/>
    <col min="52" max="53" width="22.44140625" customWidth="1"/>
    <col min="54" max="54" width="24.44140625" customWidth="1"/>
    <col min="55" max="56" width="25.44140625" customWidth="1"/>
    <col min="57" max="57" width="32" customWidth="1"/>
    <col min="58" max="61" width="18.77734375" customWidth="1"/>
    <col min="62" max="62" width="29.6640625" customWidth="1"/>
    <col min="63" max="63" width="30.77734375" customWidth="1"/>
    <col min="64" max="64" width="23.44140625" customWidth="1"/>
    <col min="65" max="65" width="29" customWidth="1"/>
    <col min="66" max="66" width="21.33203125" customWidth="1"/>
    <col min="67" max="67" width="25" customWidth="1"/>
    <col min="68" max="68" width="20.6640625" customWidth="1"/>
    <col min="69" max="69" width="32.44140625" customWidth="1"/>
    <col min="70" max="70" width="25" customWidth="1"/>
  </cols>
  <sheetData>
    <row r="1" spans="1:70" ht="49.2" customHeight="1">
      <c r="A1" s="2371"/>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c r="AO1" s="2372"/>
      <c r="AP1" s="2372"/>
      <c r="AQ1" s="2372"/>
      <c r="AR1" s="2372"/>
      <c r="AS1" s="2372"/>
      <c r="AT1" s="2372"/>
      <c r="AU1" s="2372"/>
      <c r="AV1" s="2372"/>
      <c r="AW1" s="2372"/>
      <c r="AX1" s="2372"/>
      <c r="AY1" s="2372"/>
      <c r="AZ1" s="2372"/>
      <c r="BA1" s="2372"/>
      <c r="BB1" s="2372"/>
      <c r="BC1" s="2372"/>
      <c r="BD1" s="2372"/>
      <c r="BE1" s="2372"/>
      <c r="BF1" s="2372"/>
      <c r="BG1" s="2372"/>
      <c r="BH1" s="2372"/>
      <c r="BI1" s="2372"/>
      <c r="BJ1" s="2372"/>
      <c r="BK1" s="2372"/>
      <c r="BL1" s="2372"/>
      <c r="BM1" s="2372"/>
      <c r="BN1" s="2372"/>
      <c r="BO1" s="2372"/>
      <c r="BP1" s="2372"/>
      <c r="BQ1" s="2372"/>
      <c r="BR1" s="2372"/>
    </row>
    <row r="2" spans="1:70" ht="30.6" customHeight="1">
      <c r="A2" s="2373" t="str">
        <f>+'[1]Datos Generales'!C5</f>
        <v>Corporación Autónoma Regional del Atlántico – CRA</v>
      </c>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c r="AO2" s="2374"/>
      <c r="AP2" s="2374"/>
      <c r="AQ2" s="2374"/>
      <c r="AR2" s="2374"/>
      <c r="AS2" s="2374"/>
      <c r="AT2" s="2374"/>
      <c r="AU2" s="2374"/>
      <c r="AV2" s="2374"/>
      <c r="AW2" s="2374"/>
      <c r="AX2" s="2374"/>
      <c r="AY2" s="2374"/>
      <c r="AZ2" s="2374"/>
      <c r="BA2" s="2374"/>
      <c r="BB2" s="2374"/>
      <c r="BC2" s="2374"/>
      <c r="BD2" s="2374"/>
      <c r="BE2" s="2374"/>
      <c r="BF2" s="2374"/>
      <c r="BG2" s="2374"/>
      <c r="BH2" s="2374"/>
      <c r="BI2" s="2374"/>
      <c r="BJ2" s="2374"/>
      <c r="BK2" s="2374"/>
      <c r="BL2" s="2374"/>
      <c r="BM2" s="2374"/>
      <c r="BN2" s="2374"/>
      <c r="BO2" s="2374"/>
      <c r="BP2" s="2374"/>
      <c r="BQ2" s="2374"/>
      <c r="BR2" s="2374"/>
    </row>
    <row r="3" spans="1:70" ht="35.4" customHeight="1">
      <c r="A3" s="2373" t="str">
        <f>+'[1]Datos Generales'!C6</f>
        <v>2025-II</v>
      </c>
      <c r="B3" s="2374"/>
      <c r="C3" s="2374"/>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c r="AJ3" s="2374"/>
      <c r="AK3" s="2374"/>
      <c r="AL3" s="2374"/>
      <c r="AM3" s="2374"/>
      <c r="AN3" s="2374"/>
      <c r="AO3" s="2374"/>
      <c r="AP3" s="2374"/>
      <c r="AQ3" s="2374"/>
      <c r="AR3" s="2374"/>
      <c r="AS3" s="2374"/>
      <c r="AT3" s="2374"/>
      <c r="AU3" s="2374"/>
      <c r="AV3" s="2374"/>
      <c r="AW3" s="2374"/>
      <c r="AX3" s="2374"/>
      <c r="AY3" s="2374"/>
      <c r="AZ3" s="2374"/>
      <c r="BA3" s="2374"/>
      <c r="BB3" s="2374"/>
      <c r="BC3" s="2374"/>
      <c r="BD3" s="2374"/>
      <c r="BE3" s="2374"/>
      <c r="BF3" s="2374"/>
      <c r="BG3" s="2374"/>
      <c r="BH3" s="2374"/>
      <c r="BI3" s="2374"/>
      <c r="BJ3" s="2374"/>
      <c r="BK3" s="2374"/>
      <c r="BL3" s="2374"/>
      <c r="BM3" s="2374"/>
      <c r="BN3" s="2374"/>
      <c r="BO3" s="2374"/>
      <c r="BP3" s="2374"/>
      <c r="BQ3" s="2374"/>
      <c r="BR3" s="2374"/>
    </row>
    <row r="4" spans="1:70" ht="41.25" customHeight="1">
      <c r="A4" s="964"/>
      <c r="B4" s="965"/>
      <c r="C4" s="2375" t="s">
        <v>2143</v>
      </c>
      <c r="D4" s="2360"/>
      <c r="E4" s="2360"/>
      <c r="F4" s="2360"/>
      <c r="G4" s="2360"/>
      <c r="H4" s="2360"/>
      <c r="I4" s="2360"/>
      <c r="J4" s="2360"/>
      <c r="K4" s="2360"/>
      <c r="L4" s="2360"/>
      <c r="M4" s="2360"/>
      <c r="N4" s="2360"/>
      <c r="O4" s="2360"/>
      <c r="P4" s="2360"/>
      <c r="Q4" s="2360"/>
      <c r="R4" s="2360"/>
      <c r="S4" s="2360"/>
      <c r="T4" s="2360"/>
      <c r="U4" s="2360"/>
      <c r="V4" s="2360"/>
      <c r="W4" s="2360"/>
      <c r="X4" s="2360"/>
      <c r="Y4" s="2360"/>
      <c r="Z4" s="2360"/>
      <c r="AA4" s="2360"/>
      <c r="AB4" s="2360"/>
      <c r="AC4" s="2361"/>
      <c r="AD4" s="2376" t="s">
        <v>2144</v>
      </c>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2360"/>
      <c r="BB4" s="2360"/>
      <c r="BC4" s="2360"/>
      <c r="BD4" s="2360"/>
      <c r="BE4" s="2360"/>
      <c r="BF4" s="2360"/>
      <c r="BG4" s="2360"/>
      <c r="BH4" s="2360"/>
      <c r="BI4" s="2360"/>
      <c r="BJ4" s="2360"/>
      <c r="BK4" s="2360"/>
      <c r="BL4" s="2360"/>
      <c r="BM4" s="2360"/>
      <c r="BN4" s="2361"/>
      <c r="BO4" s="2377"/>
      <c r="BP4" s="2354"/>
      <c r="BQ4" s="2354"/>
      <c r="BR4" s="2354"/>
    </row>
    <row r="5" spans="1:70" ht="41.4" customHeight="1">
      <c r="A5" s="2368" t="s">
        <v>2145</v>
      </c>
      <c r="B5" s="2366" t="s">
        <v>584</v>
      </c>
      <c r="C5" s="2369" t="s">
        <v>2146</v>
      </c>
      <c r="D5" s="2365" t="s">
        <v>2147</v>
      </c>
      <c r="E5" s="2354"/>
      <c r="F5" s="2354"/>
      <c r="G5" s="2355"/>
      <c r="H5" s="2365" t="s">
        <v>2148</v>
      </c>
      <c r="I5" s="2354"/>
      <c r="J5" s="2354"/>
      <c r="K5" s="2355"/>
      <c r="L5" s="2370" t="s">
        <v>2149</v>
      </c>
      <c r="M5" s="2360"/>
      <c r="N5" s="2360"/>
      <c r="O5" s="2361"/>
      <c r="P5" s="2365" t="s">
        <v>2150</v>
      </c>
      <c r="Q5" s="2354"/>
      <c r="R5" s="2354"/>
      <c r="S5" s="2355"/>
      <c r="T5" s="2366" t="s">
        <v>2151</v>
      </c>
      <c r="U5" s="2366" t="s">
        <v>2152</v>
      </c>
      <c r="V5" s="2366" t="s">
        <v>2153</v>
      </c>
      <c r="W5" s="2366" t="s">
        <v>2154</v>
      </c>
      <c r="X5" s="2367" t="s">
        <v>2155</v>
      </c>
      <c r="Y5" s="966" t="s">
        <v>2156</v>
      </c>
      <c r="Z5" s="2353" t="s">
        <v>2157</v>
      </c>
      <c r="AA5" s="2354"/>
      <c r="AB5" s="2354"/>
      <c r="AC5" s="2355"/>
      <c r="AD5" s="2356" t="s">
        <v>2158</v>
      </c>
      <c r="AE5" s="2357"/>
      <c r="AF5" s="2357"/>
      <c r="AG5" s="2358"/>
      <c r="AH5" s="2359" t="s">
        <v>2159</v>
      </c>
      <c r="AI5" s="2360"/>
      <c r="AJ5" s="2360"/>
      <c r="AK5" s="2361"/>
      <c r="AL5" s="2362" t="s">
        <v>2160</v>
      </c>
      <c r="AM5" s="2351"/>
      <c r="AN5" s="2351"/>
      <c r="AO5" s="2352"/>
      <c r="AP5" s="2363" t="s">
        <v>2161</v>
      </c>
      <c r="AQ5" s="2360"/>
      <c r="AR5" s="2360"/>
      <c r="AS5" s="2361"/>
      <c r="AT5" s="2364" t="s">
        <v>2162</v>
      </c>
      <c r="AU5" s="2351"/>
      <c r="AV5" s="2351"/>
      <c r="AW5" s="2352"/>
      <c r="AX5" s="2350" t="s">
        <v>2163</v>
      </c>
      <c r="AY5" s="2351"/>
      <c r="AZ5" s="2351"/>
      <c r="BA5" s="2352"/>
      <c r="BB5" s="2350" t="s">
        <v>2164</v>
      </c>
      <c r="BC5" s="2351"/>
      <c r="BD5" s="2351"/>
      <c r="BE5" s="2352"/>
      <c r="BF5" s="2350" t="s">
        <v>2165</v>
      </c>
      <c r="BG5" s="2351"/>
      <c r="BH5" s="2351"/>
      <c r="BI5" s="2352"/>
      <c r="BJ5" s="2347" t="s">
        <v>2166</v>
      </c>
      <c r="BK5" s="2347" t="s">
        <v>2167</v>
      </c>
      <c r="BL5" s="2347" t="s">
        <v>2168</v>
      </c>
      <c r="BM5" s="2347" t="s">
        <v>2169</v>
      </c>
      <c r="BN5" s="2347" t="s">
        <v>2170</v>
      </c>
      <c r="BO5" s="2349" t="s">
        <v>2171</v>
      </c>
      <c r="BP5" s="2349" t="s">
        <v>2172</v>
      </c>
      <c r="BQ5" s="2349" t="s">
        <v>2173</v>
      </c>
      <c r="BR5" s="2349" t="s">
        <v>2174</v>
      </c>
    </row>
    <row r="6" spans="1:70" ht="19.5" customHeight="1" thickBot="1">
      <c r="A6" s="2348"/>
      <c r="B6" s="2348"/>
      <c r="C6" s="2348"/>
      <c r="D6" s="968" t="s">
        <v>592</v>
      </c>
      <c r="E6" s="968" t="s">
        <v>593</v>
      </c>
      <c r="F6" s="968" t="s">
        <v>594</v>
      </c>
      <c r="G6" s="968" t="s">
        <v>595</v>
      </c>
      <c r="H6" s="968" t="s">
        <v>592</v>
      </c>
      <c r="I6" s="968" t="s">
        <v>593</v>
      </c>
      <c r="J6" s="968" t="s">
        <v>594</v>
      </c>
      <c r="K6" s="968" t="s">
        <v>595</v>
      </c>
      <c r="L6" s="968" t="s">
        <v>592</v>
      </c>
      <c r="M6" s="968" t="s">
        <v>593</v>
      </c>
      <c r="N6" s="968" t="s">
        <v>594</v>
      </c>
      <c r="O6" s="968" t="s">
        <v>595</v>
      </c>
      <c r="P6" s="968" t="s">
        <v>592</v>
      </c>
      <c r="Q6" s="968" t="s">
        <v>593</v>
      </c>
      <c r="R6" s="968" t="s">
        <v>594</v>
      </c>
      <c r="S6" s="968" t="s">
        <v>595</v>
      </c>
      <c r="T6" s="2348"/>
      <c r="U6" s="2348"/>
      <c r="V6" s="2348"/>
      <c r="W6" s="2348"/>
      <c r="X6" s="2348"/>
      <c r="Y6" s="969" t="s">
        <v>2175</v>
      </c>
      <c r="Z6" s="970" t="s">
        <v>592</v>
      </c>
      <c r="AA6" s="970" t="s">
        <v>593</v>
      </c>
      <c r="AB6" s="970" t="s">
        <v>594</v>
      </c>
      <c r="AC6" s="970" t="s">
        <v>595</v>
      </c>
      <c r="AD6" s="971" t="s">
        <v>592</v>
      </c>
      <c r="AE6" s="971" t="s">
        <v>593</v>
      </c>
      <c r="AF6" s="971" t="s">
        <v>594</v>
      </c>
      <c r="AG6" s="971" t="s">
        <v>595</v>
      </c>
      <c r="AH6" s="971" t="s">
        <v>592</v>
      </c>
      <c r="AI6" s="971" t="s">
        <v>593</v>
      </c>
      <c r="AJ6" s="971" t="s">
        <v>594</v>
      </c>
      <c r="AK6" s="971" t="s">
        <v>595</v>
      </c>
      <c r="AL6" s="971" t="s">
        <v>592</v>
      </c>
      <c r="AM6" s="971" t="s">
        <v>593</v>
      </c>
      <c r="AN6" s="971" t="s">
        <v>594</v>
      </c>
      <c r="AO6" s="971" t="s">
        <v>595</v>
      </c>
      <c r="AP6" s="971" t="s">
        <v>592</v>
      </c>
      <c r="AQ6" s="971" t="s">
        <v>593</v>
      </c>
      <c r="AR6" s="971" t="s">
        <v>594</v>
      </c>
      <c r="AS6" s="971" t="s">
        <v>595</v>
      </c>
      <c r="AT6" s="971" t="s">
        <v>592</v>
      </c>
      <c r="AU6" s="971" t="s">
        <v>593</v>
      </c>
      <c r="AV6" s="971" t="s">
        <v>594</v>
      </c>
      <c r="AW6" s="967" t="s">
        <v>595</v>
      </c>
      <c r="AX6" s="972" t="s">
        <v>592</v>
      </c>
      <c r="AY6" s="973" t="s">
        <v>593</v>
      </c>
      <c r="AZ6" s="973" t="s">
        <v>594</v>
      </c>
      <c r="BA6" s="973" t="s">
        <v>595</v>
      </c>
      <c r="BB6" s="973" t="s">
        <v>592</v>
      </c>
      <c r="BC6" s="973" t="s">
        <v>593</v>
      </c>
      <c r="BD6" s="973" t="s">
        <v>594</v>
      </c>
      <c r="BE6" s="973" t="s">
        <v>595</v>
      </c>
      <c r="BF6" s="973" t="s">
        <v>592</v>
      </c>
      <c r="BG6" s="973" t="s">
        <v>593</v>
      </c>
      <c r="BH6" s="973" t="s">
        <v>594</v>
      </c>
      <c r="BI6" s="973" t="s">
        <v>595</v>
      </c>
      <c r="BJ6" s="2348"/>
      <c r="BK6" s="2348"/>
      <c r="BL6" s="2348"/>
      <c r="BM6" s="2348"/>
      <c r="BN6" s="2348"/>
      <c r="BO6" s="2348"/>
      <c r="BP6" s="2348"/>
      <c r="BQ6" s="2348"/>
      <c r="BR6" s="2348"/>
    </row>
    <row r="7" spans="1:70" ht="27.6">
      <c r="A7" s="974" t="s">
        <v>2176</v>
      </c>
      <c r="B7" s="975"/>
      <c r="C7" s="976"/>
      <c r="D7" s="976"/>
      <c r="E7" s="977"/>
      <c r="F7" s="977"/>
      <c r="G7" s="977"/>
      <c r="H7" s="977"/>
      <c r="I7" s="977"/>
      <c r="J7" s="977"/>
      <c r="K7" s="977"/>
      <c r="L7" s="977"/>
      <c r="M7" s="977"/>
      <c r="N7" s="977"/>
      <c r="O7" s="977"/>
      <c r="P7" s="978">
        <f>+(P8*Z8)+(P29*Z29)</f>
        <v>0.99570000000000014</v>
      </c>
      <c r="Q7" s="978">
        <f>+(Q8*AA8)+(Q29*AA29)</f>
        <v>0.98399999999999999</v>
      </c>
      <c r="R7" s="979" t="e">
        <f>+(R8*AB8)+(R29*AB29)</f>
        <v>#DIV/0!</v>
      </c>
      <c r="S7" s="979" t="e">
        <f>+(S8*AC8)+(S29*AC29)</f>
        <v>#DIV/0!</v>
      </c>
      <c r="T7" s="980"/>
      <c r="U7" s="981"/>
      <c r="V7" s="982"/>
      <c r="W7" s="982"/>
      <c r="X7" s="983">
        <f>+(X8*Y8)+(X29*Y29)</f>
        <v>0.65034166666666671</v>
      </c>
      <c r="Y7" s="984">
        <v>0.375</v>
      </c>
      <c r="Z7" s="984">
        <f>+Y7</f>
        <v>0.375</v>
      </c>
      <c r="AA7" s="984">
        <f>+Z7</f>
        <v>0.375</v>
      </c>
      <c r="AB7" s="984">
        <f t="shared" ref="AB7:AC7" si="0">+AA7</f>
        <v>0.375</v>
      </c>
      <c r="AC7" s="984">
        <f t="shared" si="0"/>
        <v>0.375</v>
      </c>
      <c r="AD7" s="985">
        <f>+AD8+AD29</f>
        <v>32004012193.294029</v>
      </c>
      <c r="AE7" s="986">
        <f>+AE8+AE29</f>
        <v>43285923258.600006</v>
      </c>
      <c r="AF7" s="986">
        <f t="shared" ref="AF7:AG7" si="1">+AF8+AF29</f>
        <v>35690855820.135345</v>
      </c>
      <c r="AG7" s="986">
        <f t="shared" si="1"/>
        <v>40794498398.694435</v>
      </c>
      <c r="AH7" s="985">
        <f>+AH8+AH29</f>
        <v>24428552719.396103</v>
      </c>
      <c r="AI7" s="985">
        <f t="shared" ref="AI7:AK7" si="2">+AI8+AI29</f>
        <v>40954295639.910004</v>
      </c>
      <c r="AJ7" s="985">
        <f t="shared" si="2"/>
        <v>0</v>
      </c>
      <c r="AK7" s="985">
        <f t="shared" si="2"/>
        <v>0</v>
      </c>
      <c r="AL7" s="978">
        <f>+AH7/AD7</f>
        <v>0.76329656956307335</v>
      </c>
      <c r="AM7" s="978">
        <f>+AI7/AE7</f>
        <v>0.94613427546040019</v>
      </c>
      <c r="AN7" s="978">
        <f>+AJ7/AF7</f>
        <v>0</v>
      </c>
      <c r="AO7" s="978">
        <f>+AK7/AG7</f>
        <v>0</v>
      </c>
      <c r="AP7" s="985">
        <f>+AP8+AP29</f>
        <v>16773992056.516407</v>
      </c>
      <c r="AQ7" s="985">
        <f t="shared" ref="AQ7:AS7" si="3">+AQ8+AQ29</f>
        <v>29332992824.699997</v>
      </c>
      <c r="AR7" s="985">
        <f t="shared" si="3"/>
        <v>0</v>
      </c>
      <c r="AS7" s="985">
        <f t="shared" si="3"/>
        <v>0</v>
      </c>
      <c r="AT7" s="978">
        <f>+AP7/AD7</f>
        <v>0.52412153686252971</v>
      </c>
      <c r="AU7" s="978">
        <f>+AQ7/AE7</f>
        <v>0.67765662867944365</v>
      </c>
      <c r="AV7" s="978">
        <f t="shared" ref="AV7:AW22" si="4">+AR7/AF7</f>
        <v>0</v>
      </c>
      <c r="AW7" s="978">
        <f t="shared" si="4"/>
        <v>0</v>
      </c>
      <c r="AX7" s="985">
        <f t="shared" ref="AX7:BE7" si="5">+AX8+AX29</f>
        <v>7654560662.8796959</v>
      </c>
      <c r="AY7" s="985">
        <f t="shared" si="5"/>
        <v>11621302815.209999</v>
      </c>
      <c r="AZ7" s="985">
        <f t="shared" si="5"/>
        <v>0</v>
      </c>
      <c r="BA7" s="985">
        <f t="shared" si="5"/>
        <v>0</v>
      </c>
      <c r="BB7" s="985">
        <f t="shared" si="5"/>
        <v>0</v>
      </c>
      <c r="BC7" s="985">
        <f t="shared" si="5"/>
        <v>0</v>
      </c>
      <c r="BD7" s="985">
        <f t="shared" si="5"/>
        <v>0</v>
      </c>
      <c r="BE7" s="985">
        <f t="shared" si="5"/>
        <v>0</v>
      </c>
      <c r="BF7" s="978">
        <f>+BB7/AX7</f>
        <v>0</v>
      </c>
      <c r="BG7" s="978">
        <f t="shared" ref="BG7:BI22" si="6">+BC7/AY7</f>
        <v>0</v>
      </c>
      <c r="BH7" s="978" t="e">
        <f t="shared" si="6"/>
        <v>#DIV/0!</v>
      </c>
      <c r="BI7" s="978" t="e">
        <f t="shared" si="6"/>
        <v>#DIV/0!</v>
      </c>
      <c r="BJ7" s="985">
        <f t="shared" ref="BJ7:BJ92" si="7">+AD7+AE7+AF7+AG7</f>
        <v>151775289670.72382</v>
      </c>
      <c r="BK7" s="985">
        <f t="shared" ref="BK7:BK92" si="8">+AH7+AI7+AJ7+AK7</f>
        <v>65382848359.306107</v>
      </c>
      <c r="BL7" s="987">
        <f t="shared" ref="BL7:BL91" si="9">+BK7/BJ7</f>
        <v>0.43078717557485191</v>
      </c>
      <c r="BM7" s="985">
        <f t="shared" ref="BM7:BM91" si="10">+AP7+AQ7+AR7+AS7</f>
        <v>46106984881.2164</v>
      </c>
      <c r="BN7" s="987">
        <f t="shared" ref="BN7:BN82" si="11">+BM7/BJ7</f>
        <v>0.30378452896545549</v>
      </c>
      <c r="BO7" s="976"/>
      <c r="BP7" s="988"/>
      <c r="BQ7" s="988"/>
      <c r="BR7" s="989"/>
    </row>
    <row r="8" spans="1:70" ht="14.4">
      <c r="A8" s="990" t="s">
        <v>2177</v>
      </c>
      <c r="B8" s="991"/>
      <c r="C8" s="992"/>
      <c r="D8" s="992"/>
      <c r="E8" s="993"/>
      <c r="F8" s="993"/>
      <c r="G8" s="994"/>
      <c r="H8" s="993"/>
      <c r="I8" s="993"/>
      <c r="J8" s="994"/>
      <c r="K8" s="993"/>
      <c r="L8" s="993"/>
      <c r="M8" s="994"/>
      <c r="N8" s="994"/>
      <c r="O8" s="994"/>
      <c r="P8" s="995">
        <f>+(P9*Z9)+(P18*Z18)+(P22*Z22)</f>
        <v>0.99812500000000004</v>
      </c>
      <c r="Q8" s="995">
        <f>+(Q9*AA9)+(Q18*AA18)+(Q22*AA22)</f>
        <v>0.98</v>
      </c>
      <c r="R8" s="996" t="e">
        <f>+(R9*AB9)+(R18*AB18)+(R22*AB22)</f>
        <v>#DIV/0!</v>
      </c>
      <c r="S8" s="996" t="e">
        <f>+(S9*AC9)+(S18*AC18)+(S22*AC22)</f>
        <v>#DIV/0!</v>
      </c>
      <c r="T8" s="997"/>
      <c r="U8" s="998"/>
      <c r="V8" s="999"/>
      <c r="W8" s="999"/>
      <c r="X8" s="995">
        <f>+(X9*Y9)+(X18*Y18)+(X22*Y22)</f>
        <v>0.66770833333333335</v>
      </c>
      <c r="Y8" s="1000">
        <v>0.8</v>
      </c>
      <c r="Z8" s="1000">
        <v>0.8</v>
      </c>
      <c r="AA8" s="1000">
        <v>0.8</v>
      </c>
      <c r="AB8" s="1000">
        <v>0.8</v>
      </c>
      <c r="AC8" s="1000">
        <v>0.8</v>
      </c>
      <c r="AD8" s="1001">
        <f>+AD9+AD18+AD22</f>
        <v>19673913485.74596</v>
      </c>
      <c r="AE8" s="1001">
        <f>+AE9+AE18+AE22</f>
        <v>33593125206.600002</v>
      </c>
      <c r="AF8" s="1001">
        <f t="shared" ref="AF8:AG8" si="12">+AF9+AF18+AF22</f>
        <v>31757855820.135342</v>
      </c>
      <c r="AG8" s="1001">
        <f t="shared" si="12"/>
        <v>34504498398.694435</v>
      </c>
      <c r="AH8" s="1001">
        <f>+AH9+AH18+AH22</f>
        <v>15553068066.276493</v>
      </c>
      <c r="AI8" s="1001">
        <f t="shared" ref="AI8:AK8" si="13">+AI9+AI18+AI22</f>
        <v>31283841100.91</v>
      </c>
      <c r="AJ8" s="1001">
        <f t="shared" si="13"/>
        <v>0</v>
      </c>
      <c r="AK8" s="1001">
        <f t="shared" si="13"/>
        <v>0</v>
      </c>
      <c r="AL8" s="1002">
        <f t="shared" ref="AL8:AO71" si="14">+AH8/AD8</f>
        <v>0.79054266847035393</v>
      </c>
      <c r="AM8" s="1002">
        <f t="shared" si="14"/>
        <v>0.93125724113229269</v>
      </c>
      <c r="AN8" s="1002">
        <f t="shared" si="14"/>
        <v>0</v>
      </c>
      <c r="AO8" s="1002">
        <f t="shared" si="14"/>
        <v>0</v>
      </c>
      <c r="AP8" s="1001">
        <f>+AP9+AP18+AP22</f>
        <v>8799306355.4501305</v>
      </c>
      <c r="AQ8" s="1001">
        <f>+AQ9+AQ18+AQ22</f>
        <v>26026621069.189999</v>
      </c>
      <c r="AR8" s="1001">
        <f>+AR9+AR18+AR22</f>
        <v>0</v>
      </c>
      <c r="AS8" s="1001">
        <f>+AS9+AS18+AS22</f>
        <v>0</v>
      </c>
      <c r="AT8" s="1002">
        <f t="shared" ref="AT8:AW71" si="15">+AP8/AD8</f>
        <v>0.44725755055420757</v>
      </c>
      <c r="AU8" s="1002">
        <f t="shared" si="15"/>
        <v>0.77476033888256934</v>
      </c>
      <c r="AV8" s="1002">
        <f t="shared" si="4"/>
        <v>0</v>
      </c>
      <c r="AW8" s="1002">
        <f t="shared" si="4"/>
        <v>0</v>
      </c>
      <c r="AX8" s="1001">
        <f t="shared" ref="AX8:BE8" si="16">+AX9+AX18+AX22</f>
        <v>6753761710.8263626</v>
      </c>
      <c r="AY8" s="1001">
        <f t="shared" si="16"/>
        <v>5257220031.7199993</v>
      </c>
      <c r="AZ8" s="1001">
        <f t="shared" si="16"/>
        <v>0</v>
      </c>
      <c r="BA8" s="1001">
        <f t="shared" si="16"/>
        <v>0</v>
      </c>
      <c r="BB8" s="1001">
        <f t="shared" si="16"/>
        <v>0</v>
      </c>
      <c r="BC8" s="1001">
        <f t="shared" si="16"/>
        <v>0</v>
      </c>
      <c r="BD8" s="1001">
        <f t="shared" si="16"/>
        <v>0</v>
      </c>
      <c r="BE8" s="1001">
        <f t="shared" si="16"/>
        <v>0</v>
      </c>
      <c r="BF8" s="1003">
        <f t="shared" ref="BF8:BI71" si="17">+BB8/AX8</f>
        <v>0</v>
      </c>
      <c r="BG8" s="1003">
        <f t="shared" si="6"/>
        <v>0</v>
      </c>
      <c r="BH8" s="1003" t="e">
        <f t="shared" si="6"/>
        <v>#DIV/0!</v>
      </c>
      <c r="BI8" s="1003" t="e">
        <f t="shared" si="6"/>
        <v>#DIV/0!</v>
      </c>
      <c r="BJ8" s="1001">
        <f t="shared" si="7"/>
        <v>119529392911.17575</v>
      </c>
      <c r="BK8" s="1001">
        <f t="shared" si="8"/>
        <v>46836909167.186493</v>
      </c>
      <c r="BL8" s="1004">
        <f t="shared" si="9"/>
        <v>0.39184428220087897</v>
      </c>
      <c r="BM8" s="1001">
        <f t="shared" si="10"/>
        <v>34825927424.640129</v>
      </c>
      <c r="BN8" s="1005">
        <f t="shared" si="11"/>
        <v>0.29135869074914356</v>
      </c>
      <c r="BO8" s="1006"/>
      <c r="BP8" s="1007"/>
      <c r="BQ8" s="1007"/>
      <c r="BR8" s="1008"/>
    </row>
    <row r="9" spans="1:70" thickBot="1">
      <c r="A9" s="1009" t="s">
        <v>2178</v>
      </c>
      <c r="B9" s="1010"/>
      <c r="C9" s="1011"/>
      <c r="D9" s="1011"/>
      <c r="E9" s="1012"/>
      <c r="F9" s="1012"/>
      <c r="G9" s="1012"/>
      <c r="H9" s="1012"/>
      <c r="I9" s="1012"/>
      <c r="J9" s="1012"/>
      <c r="K9" s="1012"/>
      <c r="L9" s="1012"/>
      <c r="M9" s="1012"/>
      <c r="N9" s="1012"/>
      <c r="O9" s="1012"/>
      <c r="P9" s="1013">
        <f>+SUMPRODUCT(P10:P17,Z10:Z17)</f>
        <v>0.9850000000000001</v>
      </c>
      <c r="Q9" s="1014">
        <f>+SUMPRODUCT(Q10:Q17,AA10:AA17)</f>
        <v>0.99999999999999989</v>
      </c>
      <c r="R9" s="1015" t="e">
        <f>+SUMPRODUCT(R10:R17,AB10:AB17)</f>
        <v>#DIV/0!</v>
      </c>
      <c r="S9" s="1015" t="e">
        <f>+SUMPRODUCT(S10:S17,AC10:AC17)</f>
        <v>#DIV/0!</v>
      </c>
      <c r="T9" s="1016"/>
      <c r="U9" s="1010"/>
      <c r="V9" s="1017"/>
      <c r="W9" s="1017"/>
      <c r="X9" s="1013">
        <f>+SUMPRODUCT(X10:X17,Y10:Y17)</f>
        <v>0.5083333333333333</v>
      </c>
      <c r="Y9" s="1014">
        <v>0.1</v>
      </c>
      <c r="Z9" s="1014">
        <v>0.125</v>
      </c>
      <c r="AA9" s="1014">
        <v>0.1</v>
      </c>
      <c r="AB9" s="1014">
        <v>0.1</v>
      </c>
      <c r="AC9" s="1014">
        <v>0.1</v>
      </c>
      <c r="AD9" s="1018">
        <f>SUM(AD10:AD17)</f>
        <v>2392162914.6900001</v>
      </c>
      <c r="AE9" s="1018">
        <f>SUM(AE10:AE17)</f>
        <v>3178607487.8800001</v>
      </c>
      <c r="AF9" s="1018">
        <f t="shared" ref="AF9:AG9" si="18">SUM(AF10:AF17)</f>
        <v>3980264982.4605255</v>
      </c>
      <c r="AG9" s="1018">
        <f t="shared" si="18"/>
        <v>4360267018.3358765</v>
      </c>
      <c r="AH9" s="1018">
        <f>SUM(AH10:AH17)</f>
        <v>1498159837.8099999</v>
      </c>
      <c r="AI9" s="1018">
        <f t="shared" ref="AI9:AK9" si="19">SUM(AI10:AI17)</f>
        <v>3159298289.8800001</v>
      </c>
      <c r="AJ9" s="1018">
        <f t="shared" si="19"/>
        <v>0</v>
      </c>
      <c r="AK9" s="1018">
        <f t="shared" si="19"/>
        <v>0</v>
      </c>
      <c r="AL9" s="1019">
        <f t="shared" si="14"/>
        <v>0.62627834777053482</v>
      </c>
      <c r="AM9" s="1019">
        <f t="shared" si="14"/>
        <v>0.99392526504967171</v>
      </c>
      <c r="AN9" s="1019">
        <f t="shared" si="14"/>
        <v>0</v>
      </c>
      <c r="AO9" s="1019">
        <f t="shared" si="14"/>
        <v>0</v>
      </c>
      <c r="AP9" s="1018">
        <f>SUM(AP10:AP17)</f>
        <v>935191198.80999994</v>
      </c>
      <c r="AQ9" s="1018">
        <f t="shared" ref="AQ9:AS9" si="20">SUM(AQ10:AQ17)</f>
        <v>3045753125.7199998</v>
      </c>
      <c r="AR9" s="1018">
        <f t="shared" si="20"/>
        <v>0</v>
      </c>
      <c r="AS9" s="1018">
        <f t="shared" si="20"/>
        <v>0</v>
      </c>
      <c r="AT9" s="1020">
        <f t="shared" si="15"/>
        <v>0.39093959406656514</v>
      </c>
      <c r="AU9" s="1020">
        <f t="shared" si="15"/>
        <v>0.95820359617644746</v>
      </c>
      <c r="AV9" s="1020">
        <f t="shared" si="4"/>
        <v>0</v>
      </c>
      <c r="AW9" s="1020">
        <f t="shared" si="4"/>
        <v>0</v>
      </c>
      <c r="AX9" s="1018">
        <f t="shared" ref="AX9:BE9" si="21">SUM(AX10:AX17)</f>
        <v>562968639</v>
      </c>
      <c r="AY9" s="1018">
        <f t="shared" si="21"/>
        <v>113545164.16000015</v>
      </c>
      <c r="AZ9" s="1018">
        <f t="shared" si="21"/>
        <v>0</v>
      </c>
      <c r="BA9" s="1018">
        <f t="shared" si="21"/>
        <v>0</v>
      </c>
      <c r="BB9" s="1018">
        <f t="shared" si="21"/>
        <v>0</v>
      </c>
      <c r="BC9" s="1018">
        <f t="shared" si="21"/>
        <v>0</v>
      </c>
      <c r="BD9" s="1018">
        <f t="shared" si="21"/>
        <v>0</v>
      </c>
      <c r="BE9" s="1018">
        <f t="shared" si="21"/>
        <v>0</v>
      </c>
      <c r="BF9" s="1014">
        <f t="shared" si="17"/>
        <v>0</v>
      </c>
      <c r="BG9" s="1014">
        <f t="shared" si="6"/>
        <v>0</v>
      </c>
      <c r="BH9" s="1014" t="e">
        <f t="shared" si="6"/>
        <v>#DIV/0!</v>
      </c>
      <c r="BI9" s="1014" t="e">
        <f t="shared" si="6"/>
        <v>#DIV/0!</v>
      </c>
      <c r="BJ9" s="1018">
        <f t="shared" si="7"/>
        <v>13911302403.366402</v>
      </c>
      <c r="BK9" s="1018">
        <f t="shared" si="8"/>
        <v>4657458127.6900005</v>
      </c>
      <c r="BL9" s="1014">
        <f t="shared" si="9"/>
        <v>0.33479669930566247</v>
      </c>
      <c r="BM9" s="1018">
        <f t="shared" si="10"/>
        <v>3980944324.5299997</v>
      </c>
      <c r="BN9" s="1020">
        <f t="shared" si="11"/>
        <v>0.28616618409263028</v>
      </c>
      <c r="BO9" s="1011"/>
      <c r="BP9" s="1021"/>
      <c r="BQ9" s="1021"/>
      <c r="BR9" s="1022"/>
    </row>
    <row r="10" spans="1:70" ht="21" customHeight="1" thickBot="1">
      <c r="A10" s="1023" t="s">
        <v>2179</v>
      </c>
      <c r="B10" s="1024" t="s">
        <v>2180</v>
      </c>
      <c r="C10" s="1025" t="s">
        <v>2181</v>
      </c>
      <c r="D10" s="1026">
        <v>1</v>
      </c>
      <c r="E10" s="1027">
        <v>1</v>
      </c>
      <c r="F10" s="1027">
        <v>0</v>
      </c>
      <c r="G10" s="1028">
        <v>1</v>
      </c>
      <c r="H10" s="1029">
        <v>1</v>
      </c>
      <c r="I10" s="1030">
        <v>1</v>
      </c>
      <c r="J10" s="1030"/>
      <c r="K10" s="1030"/>
      <c r="L10" s="1030"/>
      <c r="M10" s="1031"/>
      <c r="N10" s="1031"/>
      <c r="O10" s="1031"/>
      <c r="P10" s="1032">
        <f t="shared" ref="P10:S17" si="22">IF((H10+L10)/D10&gt;=100%,100%,(H10+L10)/D10)</f>
        <v>1</v>
      </c>
      <c r="Q10" s="1032">
        <f t="shared" si="22"/>
        <v>1</v>
      </c>
      <c r="R10" s="1032" t="e">
        <f t="shared" si="22"/>
        <v>#DIV/0!</v>
      </c>
      <c r="S10" s="1032">
        <f t="shared" si="22"/>
        <v>0</v>
      </c>
      <c r="T10" s="1033" t="s">
        <v>2182</v>
      </c>
      <c r="U10" s="1034">
        <v>46022</v>
      </c>
      <c r="V10" s="1035">
        <f>SUM(D10:G10)</f>
        <v>3</v>
      </c>
      <c r="W10" s="1035">
        <f>SUM(H10:N10)</f>
        <v>2</v>
      </c>
      <c r="X10" s="1036">
        <f>IF(W10/V10&gt;=100%,100%,W10/V10)</f>
        <v>0.66666666666666663</v>
      </c>
      <c r="Y10" s="1037">
        <v>0.35</v>
      </c>
      <c r="Z10" s="1037">
        <v>0.45</v>
      </c>
      <c r="AA10" s="1037">
        <v>0.45</v>
      </c>
      <c r="AB10" s="1037">
        <v>0.45</v>
      </c>
      <c r="AC10" s="1037">
        <v>0.45</v>
      </c>
      <c r="AD10" s="1038">
        <v>597162914.69000006</v>
      </c>
      <c r="AE10" s="1038">
        <v>1084907487.8800001</v>
      </c>
      <c r="AF10" s="1038">
        <v>0</v>
      </c>
      <c r="AG10" s="1038">
        <v>2751392018.3358765</v>
      </c>
      <c r="AH10" s="1038">
        <v>47255426.810000002</v>
      </c>
      <c r="AI10" s="1038">
        <v>1084695872.8800001</v>
      </c>
      <c r="AJ10" s="1038"/>
      <c r="AK10" s="1038"/>
      <c r="AL10" s="1039">
        <f t="shared" si="14"/>
        <v>7.9133224196501387E-2</v>
      </c>
      <c r="AM10" s="1039">
        <f t="shared" si="14"/>
        <v>0.99980494650247687</v>
      </c>
      <c r="AN10" s="1039" t="e">
        <f t="shared" si="14"/>
        <v>#DIV/0!</v>
      </c>
      <c r="AO10" s="1039">
        <f t="shared" si="14"/>
        <v>0</v>
      </c>
      <c r="AP10" s="1040">
        <v>47255426.810000002</v>
      </c>
      <c r="AQ10" s="1041">
        <v>1028817746.12</v>
      </c>
      <c r="AR10" s="1042"/>
      <c r="AS10" s="1042"/>
      <c r="AT10" s="1043">
        <f t="shared" si="15"/>
        <v>7.9133224196501387E-2</v>
      </c>
      <c r="AU10" s="1043">
        <f t="shared" si="15"/>
        <v>0.94829997729151616</v>
      </c>
      <c r="AV10" s="1043" t="e">
        <f t="shared" si="4"/>
        <v>#DIV/0!</v>
      </c>
      <c r="AW10" s="1043">
        <f t="shared" si="4"/>
        <v>0</v>
      </c>
      <c r="AX10" s="1044">
        <f t="shared" ref="AX10:BA25" si="23">+AH10-AP10</f>
        <v>0</v>
      </c>
      <c r="AY10" s="1044">
        <f t="shared" si="23"/>
        <v>55878126.76000011</v>
      </c>
      <c r="AZ10" s="1044">
        <f t="shared" si="23"/>
        <v>0</v>
      </c>
      <c r="BA10" s="1044">
        <f t="shared" si="23"/>
        <v>0</v>
      </c>
      <c r="BB10" s="1040"/>
      <c r="BC10" s="1040"/>
      <c r="BD10" s="1040"/>
      <c r="BE10" s="1040"/>
      <c r="BF10" s="1045" t="e">
        <f t="shared" si="17"/>
        <v>#DIV/0!</v>
      </c>
      <c r="BG10" s="1045">
        <f t="shared" si="6"/>
        <v>0</v>
      </c>
      <c r="BH10" s="1045" t="e">
        <f t="shared" si="6"/>
        <v>#DIV/0!</v>
      </c>
      <c r="BI10" s="1045" t="e">
        <f t="shared" si="6"/>
        <v>#DIV/0!</v>
      </c>
      <c r="BJ10" s="1040">
        <f t="shared" si="7"/>
        <v>4433462420.9058762</v>
      </c>
      <c r="BK10" s="1046">
        <f t="shared" si="8"/>
        <v>1131951299.6900001</v>
      </c>
      <c r="BL10" s="1047">
        <f t="shared" si="9"/>
        <v>0.25531992655499081</v>
      </c>
      <c r="BM10" s="1046">
        <f t="shared" si="10"/>
        <v>1076073172.9300001</v>
      </c>
      <c r="BN10" s="1048">
        <f t="shared" si="11"/>
        <v>0.24271620480097117</v>
      </c>
      <c r="BO10" s="1049"/>
      <c r="BP10" s="1050" t="s">
        <v>2183</v>
      </c>
      <c r="BQ10" s="1051" t="s">
        <v>2184</v>
      </c>
      <c r="BR10" s="1052" t="s">
        <v>2185</v>
      </c>
    </row>
    <row r="11" spans="1:70" ht="21" customHeight="1" thickBot="1">
      <c r="A11" s="1053" t="s">
        <v>2186</v>
      </c>
      <c r="B11" s="1054" t="s">
        <v>2187</v>
      </c>
      <c r="C11" s="1055" t="s">
        <v>2181</v>
      </c>
      <c r="D11" s="1056">
        <v>2</v>
      </c>
      <c r="E11" s="1057">
        <v>2</v>
      </c>
      <c r="F11" s="1057">
        <v>3</v>
      </c>
      <c r="G11" s="1058">
        <v>3</v>
      </c>
      <c r="H11" s="1059">
        <v>2</v>
      </c>
      <c r="I11" s="1060">
        <v>2</v>
      </c>
      <c r="J11" s="1060"/>
      <c r="K11" s="1060"/>
      <c r="L11" s="1060"/>
      <c r="M11" s="1061"/>
      <c r="N11" s="1061"/>
      <c r="O11" s="1061"/>
      <c r="P11" s="1062">
        <f t="shared" si="22"/>
        <v>1</v>
      </c>
      <c r="Q11" s="1062">
        <f t="shared" si="22"/>
        <v>1</v>
      </c>
      <c r="R11" s="1062">
        <f t="shared" si="22"/>
        <v>0</v>
      </c>
      <c r="S11" s="1062">
        <f t="shared" si="22"/>
        <v>0</v>
      </c>
      <c r="T11" s="1063" t="s">
        <v>2188</v>
      </c>
      <c r="U11" s="1034">
        <v>46022</v>
      </c>
      <c r="V11" s="1035">
        <f t="shared" ref="V11:V17" si="24">SUM(D11:G11)</f>
        <v>10</v>
      </c>
      <c r="W11" s="1035">
        <f t="shared" ref="W11:W17" si="25">SUM(H11:N11)</f>
        <v>4</v>
      </c>
      <c r="X11" s="1064">
        <f t="shared" ref="X11:X15" si="26">IF(W11/V11&gt;=100%,100%,W11/V11)</f>
        <v>0.4</v>
      </c>
      <c r="Y11" s="1065">
        <v>0.1</v>
      </c>
      <c r="Z11" s="1065">
        <v>0.17499999999999999</v>
      </c>
      <c r="AA11" s="1065">
        <v>0.17499999999999999</v>
      </c>
      <c r="AB11" s="1065">
        <v>0.17499999999999999</v>
      </c>
      <c r="AC11" s="1065">
        <v>0.17499999999999999</v>
      </c>
      <c r="AD11" s="1066">
        <v>470000000</v>
      </c>
      <c r="AE11" s="1066">
        <v>265500000</v>
      </c>
      <c r="AF11" s="1066">
        <v>427500000</v>
      </c>
      <c r="AG11" s="1066">
        <v>448875000</v>
      </c>
      <c r="AH11" s="1066">
        <v>140398450</v>
      </c>
      <c r="AI11" s="1066">
        <v>264064864</v>
      </c>
      <c r="AJ11" s="1066"/>
      <c r="AK11" s="1066"/>
      <c r="AL11" s="1039">
        <f t="shared" si="14"/>
        <v>0.29872010638297875</v>
      </c>
      <c r="AM11" s="1039">
        <f t="shared" si="14"/>
        <v>0.99459459133709982</v>
      </c>
      <c r="AN11" s="1039">
        <f t="shared" si="14"/>
        <v>0</v>
      </c>
      <c r="AO11" s="1039">
        <f t="shared" si="14"/>
        <v>0</v>
      </c>
      <c r="AP11" s="1067">
        <v>136702487</v>
      </c>
      <c r="AQ11" s="1068">
        <v>253861740.63</v>
      </c>
      <c r="AR11" s="1069"/>
      <c r="AS11" s="1069"/>
      <c r="AT11" s="1043">
        <f t="shared" si="15"/>
        <v>0.29085635531914894</v>
      </c>
      <c r="AU11" s="1043">
        <f t="shared" si="15"/>
        <v>0.95616474813559316</v>
      </c>
      <c r="AV11" s="1043">
        <f t="shared" si="4"/>
        <v>0</v>
      </c>
      <c r="AW11" s="1043">
        <f t="shared" si="4"/>
        <v>0</v>
      </c>
      <c r="AX11" s="1044">
        <f t="shared" si="23"/>
        <v>3695963</v>
      </c>
      <c r="AY11" s="1044">
        <f t="shared" si="23"/>
        <v>10203123.370000005</v>
      </c>
      <c r="AZ11" s="1044">
        <f t="shared" si="23"/>
        <v>0</v>
      </c>
      <c r="BA11" s="1044">
        <f t="shared" si="23"/>
        <v>0</v>
      </c>
      <c r="BB11" s="1070"/>
      <c r="BC11" s="1070"/>
      <c r="BD11" s="1070"/>
      <c r="BE11" s="1070"/>
      <c r="BF11" s="1071">
        <f t="shared" si="17"/>
        <v>0</v>
      </c>
      <c r="BG11" s="1071">
        <f t="shared" si="6"/>
        <v>0</v>
      </c>
      <c r="BH11" s="1071" t="e">
        <f t="shared" si="6"/>
        <v>#DIV/0!</v>
      </c>
      <c r="BI11" s="1071" t="e">
        <f t="shared" si="6"/>
        <v>#DIV/0!</v>
      </c>
      <c r="BJ11" s="1070">
        <f t="shared" si="7"/>
        <v>1611875000</v>
      </c>
      <c r="BK11" s="1072">
        <f t="shared" si="8"/>
        <v>404463314</v>
      </c>
      <c r="BL11" s="1073">
        <f t="shared" si="9"/>
        <v>0.25092722078324931</v>
      </c>
      <c r="BM11" s="1072">
        <f t="shared" si="10"/>
        <v>390564227.63</v>
      </c>
      <c r="BN11" s="1074">
        <f t="shared" si="11"/>
        <v>0.24230429011554866</v>
      </c>
      <c r="BO11" s="1075"/>
      <c r="BP11" s="1076" t="s">
        <v>2183</v>
      </c>
      <c r="BQ11" s="1077" t="s">
        <v>2189</v>
      </c>
      <c r="BR11" s="1078" t="s">
        <v>2190</v>
      </c>
    </row>
    <row r="12" spans="1:70" ht="21" customHeight="1" thickBot="1">
      <c r="A12" s="1053" t="s">
        <v>2191</v>
      </c>
      <c r="B12" s="1079" t="s">
        <v>2192</v>
      </c>
      <c r="C12" s="1055" t="s">
        <v>2181</v>
      </c>
      <c r="D12" s="1056">
        <v>0</v>
      </c>
      <c r="E12" s="1057">
        <v>0</v>
      </c>
      <c r="F12" s="1057">
        <v>1</v>
      </c>
      <c r="G12" s="1058">
        <v>0</v>
      </c>
      <c r="H12" s="1059"/>
      <c r="I12" s="1060"/>
      <c r="J12" s="1060"/>
      <c r="K12" s="1060"/>
      <c r="L12" s="1060"/>
      <c r="M12" s="1061"/>
      <c r="N12" s="1061"/>
      <c r="O12" s="1061"/>
      <c r="P12" s="1062"/>
      <c r="Q12" s="1062"/>
      <c r="R12" s="1062">
        <f t="shared" si="22"/>
        <v>0</v>
      </c>
      <c r="S12" s="1062" t="e">
        <f t="shared" si="22"/>
        <v>#DIV/0!</v>
      </c>
      <c r="T12" s="1080"/>
      <c r="U12" s="1034">
        <v>46022</v>
      </c>
      <c r="V12" s="1035">
        <f t="shared" si="24"/>
        <v>1</v>
      </c>
      <c r="W12" s="1035">
        <f t="shared" si="25"/>
        <v>0</v>
      </c>
      <c r="X12" s="1064">
        <f t="shared" si="26"/>
        <v>0</v>
      </c>
      <c r="Y12" s="1065">
        <v>0.1</v>
      </c>
      <c r="Z12" s="1065">
        <v>0</v>
      </c>
      <c r="AA12" s="1065">
        <v>0</v>
      </c>
      <c r="AB12" s="1065">
        <v>0</v>
      </c>
      <c r="AC12" s="1065">
        <v>0</v>
      </c>
      <c r="AD12" s="1066"/>
      <c r="AE12" s="1066"/>
      <c r="AF12" s="1066">
        <v>1709764982.4605255</v>
      </c>
      <c r="AG12" s="1066">
        <v>0</v>
      </c>
      <c r="AH12" s="1066"/>
      <c r="AI12" s="1066"/>
      <c r="AJ12" s="1066"/>
      <c r="AK12" s="1066"/>
      <c r="AL12" s="1039" t="e">
        <f t="shared" si="14"/>
        <v>#DIV/0!</v>
      </c>
      <c r="AM12" s="1039" t="e">
        <f t="shared" si="14"/>
        <v>#DIV/0!</v>
      </c>
      <c r="AN12" s="1039">
        <f t="shared" si="14"/>
        <v>0</v>
      </c>
      <c r="AO12" s="1039" t="e">
        <f t="shared" si="14"/>
        <v>#DIV/0!</v>
      </c>
      <c r="AP12" s="1067"/>
      <c r="AQ12" s="1068"/>
      <c r="AR12" s="1069"/>
      <c r="AS12" s="1069"/>
      <c r="AT12" s="1043" t="e">
        <f t="shared" si="15"/>
        <v>#DIV/0!</v>
      </c>
      <c r="AU12" s="1043" t="e">
        <f t="shared" si="15"/>
        <v>#DIV/0!</v>
      </c>
      <c r="AV12" s="1043">
        <f t="shared" si="4"/>
        <v>0</v>
      </c>
      <c r="AW12" s="1043" t="e">
        <f t="shared" si="4"/>
        <v>#DIV/0!</v>
      </c>
      <c r="AX12" s="1044">
        <f t="shared" si="23"/>
        <v>0</v>
      </c>
      <c r="AY12" s="1044">
        <f t="shared" si="23"/>
        <v>0</v>
      </c>
      <c r="AZ12" s="1044">
        <f t="shared" si="23"/>
        <v>0</v>
      </c>
      <c r="BA12" s="1044">
        <f t="shared" si="23"/>
        <v>0</v>
      </c>
      <c r="BB12" s="1070"/>
      <c r="BC12" s="1070"/>
      <c r="BD12" s="1070"/>
      <c r="BE12" s="1070"/>
      <c r="BF12" s="1071" t="e">
        <f t="shared" si="17"/>
        <v>#DIV/0!</v>
      </c>
      <c r="BG12" s="1071" t="e">
        <f t="shared" si="6"/>
        <v>#DIV/0!</v>
      </c>
      <c r="BH12" s="1071" t="e">
        <f t="shared" si="6"/>
        <v>#DIV/0!</v>
      </c>
      <c r="BI12" s="1071" t="e">
        <f t="shared" si="6"/>
        <v>#DIV/0!</v>
      </c>
      <c r="BJ12" s="1070">
        <f t="shared" si="7"/>
        <v>1709764982.4605255</v>
      </c>
      <c r="BK12" s="1072">
        <f t="shared" si="8"/>
        <v>0</v>
      </c>
      <c r="BL12" s="1073">
        <f t="shared" si="9"/>
        <v>0</v>
      </c>
      <c r="BM12" s="1072">
        <f t="shared" si="10"/>
        <v>0</v>
      </c>
      <c r="BN12" s="1074">
        <f t="shared" si="11"/>
        <v>0</v>
      </c>
      <c r="BO12" s="1075"/>
      <c r="BP12" s="1081" t="s">
        <v>2183</v>
      </c>
      <c r="BQ12" s="1082" t="s">
        <v>2193</v>
      </c>
      <c r="BR12" s="1083" t="s">
        <v>596</v>
      </c>
    </row>
    <row r="13" spans="1:70" ht="21" customHeight="1" thickBot="1">
      <c r="A13" s="1053" t="s">
        <v>2194</v>
      </c>
      <c r="B13" s="1079" t="s">
        <v>2195</v>
      </c>
      <c r="C13" s="1055" t="s">
        <v>2181</v>
      </c>
      <c r="D13" s="1056">
        <v>1</v>
      </c>
      <c r="E13" s="1057">
        <v>0</v>
      </c>
      <c r="F13" s="1057">
        <v>0</v>
      </c>
      <c r="G13" s="1058">
        <v>0</v>
      </c>
      <c r="H13" s="1059">
        <v>0</v>
      </c>
      <c r="I13" s="1060"/>
      <c r="J13" s="1060"/>
      <c r="K13" s="1060"/>
      <c r="L13" s="1060">
        <v>0.8</v>
      </c>
      <c r="M13" s="1060"/>
      <c r="N13" s="1060"/>
      <c r="O13" s="1060"/>
      <c r="P13" s="1062">
        <f t="shared" si="22"/>
        <v>0.8</v>
      </c>
      <c r="Q13" s="1062"/>
      <c r="R13" s="1062" t="e">
        <f t="shared" si="22"/>
        <v>#DIV/0!</v>
      </c>
      <c r="S13" s="1062" t="e">
        <f t="shared" si="22"/>
        <v>#DIV/0!</v>
      </c>
      <c r="T13" s="1084"/>
      <c r="U13" s="1034">
        <v>46022</v>
      </c>
      <c r="V13" s="1035">
        <f t="shared" si="24"/>
        <v>1</v>
      </c>
      <c r="W13" s="1035">
        <f t="shared" si="25"/>
        <v>0.8</v>
      </c>
      <c r="X13" s="1064">
        <f t="shared" si="26"/>
        <v>0.8</v>
      </c>
      <c r="Y13" s="1065">
        <v>7.4999999999999997E-2</v>
      </c>
      <c r="Z13" s="1065">
        <v>7.4999999999999997E-2</v>
      </c>
      <c r="AA13" s="1065">
        <v>0</v>
      </c>
      <c r="AB13" s="1065">
        <v>0</v>
      </c>
      <c r="AC13" s="1065">
        <v>0</v>
      </c>
      <c r="AD13" s="1066">
        <v>875000000</v>
      </c>
      <c r="AE13" s="1066"/>
      <c r="AF13" s="1066">
        <v>0</v>
      </c>
      <c r="AG13" s="1066">
        <v>0</v>
      </c>
      <c r="AH13" s="1066">
        <v>874983200</v>
      </c>
      <c r="AI13" s="1066"/>
      <c r="AJ13" s="1066"/>
      <c r="AK13" s="1066"/>
      <c r="AL13" s="1039">
        <f t="shared" si="14"/>
        <v>0.9999808</v>
      </c>
      <c r="AM13" s="1039" t="e">
        <f t="shared" si="14"/>
        <v>#DIV/0!</v>
      </c>
      <c r="AN13" s="1039" t="e">
        <f t="shared" si="14"/>
        <v>#DIV/0!</v>
      </c>
      <c r="AO13" s="1039" t="e">
        <f t="shared" si="14"/>
        <v>#DIV/0!</v>
      </c>
      <c r="AP13" s="1067">
        <v>349993280</v>
      </c>
      <c r="AQ13" s="1068"/>
      <c r="AR13" s="1069"/>
      <c r="AS13" s="1069"/>
      <c r="AT13" s="1043">
        <f t="shared" si="15"/>
        <v>0.39999232000000001</v>
      </c>
      <c r="AU13" s="1043" t="e">
        <f t="shared" si="15"/>
        <v>#DIV/0!</v>
      </c>
      <c r="AV13" s="1043" t="e">
        <f t="shared" si="4"/>
        <v>#DIV/0!</v>
      </c>
      <c r="AW13" s="1043" t="e">
        <f t="shared" si="4"/>
        <v>#DIV/0!</v>
      </c>
      <c r="AX13" s="1044">
        <f t="shared" si="23"/>
        <v>524989920</v>
      </c>
      <c r="AY13" s="1044">
        <f t="shared" si="23"/>
        <v>0</v>
      </c>
      <c r="AZ13" s="1044">
        <f t="shared" si="23"/>
        <v>0</v>
      </c>
      <c r="BA13" s="1044">
        <f t="shared" si="23"/>
        <v>0</v>
      </c>
      <c r="BB13" s="1070"/>
      <c r="BC13" s="1070"/>
      <c r="BD13" s="1070"/>
      <c r="BE13" s="1070"/>
      <c r="BF13" s="1071">
        <f t="shared" si="17"/>
        <v>0</v>
      </c>
      <c r="BG13" s="1071" t="e">
        <f t="shared" si="6"/>
        <v>#DIV/0!</v>
      </c>
      <c r="BH13" s="1071" t="e">
        <f t="shared" si="6"/>
        <v>#DIV/0!</v>
      </c>
      <c r="BI13" s="1071" t="e">
        <f t="shared" si="6"/>
        <v>#DIV/0!</v>
      </c>
      <c r="BJ13" s="1070">
        <f t="shared" si="7"/>
        <v>875000000</v>
      </c>
      <c r="BK13" s="1072">
        <f t="shared" si="8"/>
        <v>874983200</v>
      </c>
      <c r="BL13" s="1073">
        <f t="shared" si="9"/>
        <v>0.9999808</v>
      </c>
      <c r="BM13" s="1072">
        <f t="shared" si="10"/>
        <v>349993280</v>
      </c>
      <c r="BN13" s="1074">
        <f t="shared" si="11"/>
        <v>0.39999232000000001</v>
      </c>
      <c r="BO13" s="1075"/>
      <c r="BP13" s="1081" t="s">
        <v>2183</v>
      </c>
      <c r="BQ13" s="1082" t="s">
        <v>2196</v>
      </c>
      <c r="BR13" s="1083" t="s">
        <v>596</v>
      </c>
    </row>
    <row r="14" spans="1:70" ht="21" customHeight="1" thickBot="1">
      <c r="A14" s="1053" t="s">
        <v>2197</v>
      </c>
      <c r="B14" s="1079" t="s">
        <v>2198</v>
      </c>
      <c r="C14" s="1055" t="s">
        <v>2181</v>
      </c>
      <c r="D14" s="1056">
        <v>0</v>
      </c>
      <c r="E14" s="1057">
        <v>1</v>
      </c>
      <c r="F14" s="1057">
        <v>1</v>
      </c>
      <c r="G14" s="1058">
        <v>1</v>
      </c>
      <c r="H14" s="1059"/>
      <c r="I14" s="1060">
        <v>1</v>
      </c>
      <c r="J14" s="1060"/>
      <c r="K14" s="1060"/>
      <c r="L14" s="1060"/>
      <c r="M14" s="1061"/>
      <c r="N14" s="1061"/>
      <c r="O14" s="1061"/>
      <c r="P14" s="1062"/>
      <c r="Q14" s="1062">
        <f t="shared" si="22"/>
        <v>1</v>
      </c>
      <c r="R14" s="1062">
        <f t="shared" si="22"/>
        <v>0</v>
      </c>
      <c r="S14" s="1062">
        <f t="shared" si="22"/>
        <v>0</v>
      </c>
      <c r="T14" s="1085" t="s">
        <v>2199</v>
      </c>
      <c r="U14" s="1034">
        <v>46022</v>
      </c>
      <c r="V14" s="1035">
        <f t="shared" si="24"/>
        <v>3</v>
      </c>
      <c r="W14" s="1035">
        <f t="shared" si="25"/>
        <v>1</v>
      </c>
      <c r="X14" s="1064">
        <f t="shared" si="26"/>
        <v>0.33333333333333331</v>
      </c>
      <c r="Y14" s="1065">
        <v>7.4999999999999997E-2</v>
      </c>
      <c r="Z14" s="1065">
        <v>0</v>
      </c>
      <c r="AA14" s="1065">
        <v>7.4999999999999997E-2</v>
      </c>
      <c r="AB14" s="1065">
        <v>7.4999999999999997E-2</v>
      </c>
      <c r="AC14" s="1065">
        <v>7.4999999999999997E-2</v>
      </c>
      <c r="AD14" s="1066"/>
      <c r="AE14" s="1066">
        <v>556500000</v>
      </c>
      <c r="AF14" s="1066">
        <v>313500000</v>
      </c>
      <c r="AG14" s="1066">
        <v>350000000</v>
      </c>
      <c r="AH14" s="1066"/>
      <c r="AI14" s="1066">
        <v>543487544</v>
      </c>
      <c r="AJ14" s="1066"/>
      <c r="AK14" s="1066"/>
      <c r="AL14" s="1039" t="e">
        <f t="shared" si="14"/>
        <v>#DIV/0!</v>
      </c>
      <c r="AM14" s="1039">
        <f t="shared" si="14"/>
        <v>0.97661732973944293</v>
      </c>
      <c r="AN14" s="1039">
        <f t="shared" si="14"/>
        <v>0</v>
      </c>
      <c r="AO14" s="1039">
        <f t="shared" si="14"/>
        <v>0</v>
      </c>
      <c r="AP14" s="1067"/>
      <c r="AQ14" s="1068">
        <v>537394620.37</v>
      </c>
      <c r="AR14" s="1069"/>
      <c r="AS14" s="1069"/>
      <c r="AT14" s="1043" t="e">
        <f t="shared" si="15"/>
        <v>#DIV/0!</v>
      </c>
      <c r="AU14" s="1043">
        <f t="shared" si="15"/>
        <v>0.96566867991015271</v>
      </c>
      <c r="AV14" s="1043">
        <f t="shared" si="4"/>
        <v>0</v>
      </c>
      <c r="AW14" s="1043">
        <f t="shared" si="4"/>
        <v>0</v>
      </c>
      <c r="AX14" s="1044">
        <f t="shared" si="23"/>
        <v>0</v>
      </c>
      <c r="AY14" s="1044">
        <f t="shared" si="23"/>
        <v>6092923.6299999952</v>
      </c>
      <c r="AZ14" s="1044">
        <f t="shared" si="23"/>
        <v>0</v>
      </c>
      <c r="BA14" s="1044">
        <f t="shared" si="23"/>
        <v>0</v>
      </c>
      <c r="BB14" s="1070"/>
      <c r="BC14" s="1070"/>
      <c r="BD14" s="1070"/>
      <c r="BE14" s="1070"/>
      <c r="BF14" s="1071" t="e">
        <f t="shared" si="17"/>
        <v>#DIV/0!</v>
      </c>
      <c r="BG14" s="1071">
        <f t="shared" si="6"/>
        <v>0</v>
      </c>
      <c r="BH14" s="1071" t="e">
        <f t="shared" si="6"/>
        <v>#DIV/0!</v>
      </c>
      <c r="BI14" s="1071" t="e">
        <f t="shared" si="6"/>
        <v>#DIV/0!</v>
      </c>
      <c r="BJ14" s="1070">
        <f t="shared" si="7"/>
        <v>1220000000</v>
      </c>
      <c r="BK14" s="1072">
        <f t="shared" si="8"/>
        <v>543487544</v>
      </c>
      <c r="BL14" s="1073">
        <f t="shared" si="9"/>
        <v>0.44548159344262295</v>
      </c>
      <c r="BM14" s="1072">
        <f t="shared" si="10"/>
        <v>537394620.37</v>
      </c>
      <c r="BN14" s="1074">
        <f t="shared" si="11"/>
        <v>0.44048739374590162</v>
      </c>
      <c r="BO14" s="1075"/>
      <c r="BP14" s="1081" t="s">
        <v>2183</v>
      </c>
      <c r="BQ14" s="1082" t="s">
        <v>2200</v>
      </c>
      <c r="BR14" s="1083" t="s">
        <v>596</v>
      </c>
    </row>
    <row r="15" spans="1:70" ht="21" customHeight="1" thickBot="1">
      <c r="A15" s="1053" t="s">
        <v>2201</v>
      </c>
      <c r="B15" s="1079" t="s">
        <v>2202</v>
      </c>
      <c r="C15" s="1055" t="s">
        <v>2181</v>
      </c>
      <c r="D15" s="1056">
        <v>1</v>
      </c>
      <c r="E15" s="1057">
        <v>1</v>
      </c>
      <c r="F15" s="1057">
        <v>1</v>
      </c>
      <c r="G15" s="1058">
        <v>1</v>
      </c>
      <c r="H15" s="1086">
        <v>1</v>
      </c>
      <c r="I15" s="1060">
        <v>1</v>
      </c>
      <c r="J15" s="1060"/>
      <c r="K15" s="1060"/>
      <c r="L15" s="1060"/>
      <c r="M15" s="1061"/>
      <c r="N15" s="1061"/>
      <c r="O15" s="1061"/>
      <c r="P15" s="1062">
        <f t="shared" si="22"/>
        <v>1</v>
      </c>
      <c r="Q15" s="1062">
        <f t="shared" si="22"/>
        <v>1</v>
      </c>
      <c r="R15" s="1062">
        <f t="shared" si="22"/>
        <v>0</v>
      </c>
      <c r="S15" s="1062">
        <f t="shared" si="22"/>
        <v>0</v>
      </c>
      <c r="T15" s="1063" t="s">
        <v>2203</v>
      </c>
      <c r="U15" s="1034">
        <v>46022</v>
      </c>
      <c r="V15" s="1035">
        <f t="shared" si="24"/>
        <v>4</v>
      </c>
      <c r="W15" s="1035">
        <f t="shared" si="25"/>
        <v>2</v>
      </c>
      <c r="X15" s="1064">
        <f t="shared" si="26"/>
        <v>0.5</v>
      </c>
      <c r="Y15" s="1065">
        <v>0.1</v>
      </c>
      <c r="Z15" s="1065">
        <v>0.15</v>
      </c>
      <c r="AA15" s="1065">
        <v>0.1</v>
      </c>
      <c r="AB15" s="1065">
        <v>0.1</v>
      </c>
      <c r="AC15" s="1065">
        <v>0.1</v>
      </c>
      <c r="AD15" s="1066">
        <v>250000000</v>
      </c>
      <c r="AE15" s="1066">
        <v>358200000</v>
      </c>
      <c r="AF15" s="1066">
        <v>418000000</v>
      </c>
      <c r="AG15" s="1066">
        <v>460000000</v>
      </c>
      <c r="AH15" s="1066">
        <v>247941516</v>
      </c>
      <c r="AI15" s="1066">
        <v>358019818</v>
      </c>
      <c r="AJ15" s="1066"/>
      <c r="AK15" s="1066"/>
      <c r="AL15" s="1039">
        <f t="shared" si="14"/>
        <v>0.991766064</v>
      </c>
      <c r="AM15" s="1039">
        <f t="shared" si="14"/>
        <v>0.99949697934115023</v>
      </c>
      <c r="AN15" s="1039">
        <f t="shared" si="14"/>
        <v>0</v>
      </c>
      <c r="AO15" s="1039">
        <f t="shared" si="14"/>
        <v>0</v>
      </c>
      <c r="AP15" s="1087">
        <v>238641636</v>
      </c>
      <c r="AQ15" s="1068">
        <v>335658926.19999999</v>
      </c>
      <c r="AR15" s="1069"/>
      <c r="AS15" s="1069"/>
      <c r="AT15" s="1043">
        <f t="shared" si="15"/>
        <v>0.95456654399999996</v>
      </c>
      <c r="AU15" s="1043">
        <f t="shared" si="15"/>
        <v>0.93707126242322725</v>
      </c>
      <c r="AV15" s="1043">
        <f t="shared" si="4"/>
        <v>0</v>
      </c>
      <c r="AW15" s="1043">
        <f t="shared" si="4"/>
        <v>0</v>
      </c>
      <c r="AX15" s="1044">
        <f t="shared" si="23"/>
        <v>9299880</v>
      </c>
      <c r="AY15" s="1044">
        <f t="shared" si="23"/>
        <v>22360891.800000012</v>
      </c>
      <c r="AZ15" s="1044">
        <f t="shared" si="23"/>
        <v>0</v>
      </c>
      <c r="BA15" s="1044">
        <f t="shared" si="23"/>
        <v>0</v>
      </c>
      <c r="BB15" s="1070"/>
      <c r="BC15" s="1070"/>
      <c r="BD15" s="1070"/>
      <c r="BE15" s="1070"/>
      <c r="BF15" s="1071">
        <f t="shared" si="17"/>
        <v>0</v>
      </c>
      <c r="BG15" s="1071">
        <f t="shared" si="6"/>
        <v>0</v>
      </c>
      <c r="BH15" s="1071" t="e">
        <f t="shared" si="6"/>
        <v>#DIV/0!</v>
      </c>
      <c r="BI15" s="1071" t="e">
        <f t="shared" si="6"/>
        <v>#DIV/0!</v>
      </c>
      <c r="BJ15" s="1070">
        <f t="shared" si="7"/>
        <v>1486200000</v>
      </c>
      <c r="BK15" s="1072">
        <f t="shared" si="8"/>
        <v>605961334</v>
      </c>
      <c r="BL15" s="1073">
        <f t="shared" si="9"/>
        <v>0.40772529538420132</v>
      </c>
      <c r="BM15" s="1072">
        <f t="shared" si="10"/>
        <v>574300562.20000005</v>
      </c>
      <c r="BN15" s="1074">
        <f t="shared" si="11"/>
        <v>0.38642212501682144</v>
      </c>
      <c r="BO15" s="1075"/>
      <c r="BP15" s="1081" t="s">
        <v>2183</v>
      </c>
      <c r="BQ15" s="1082" t="s">
        <v>2204</v>
      </c>
      <c r="BR15" s="1083" t="s">
        <v>596</v>
      </c>
    </row>
    <row r="16" spans="1:70" ht="21" customHeight="1" thickBot="1">
      <c r="A16" s="1053" t="s">
        <v>2205</v>
      </c>
      <c r="B16" s="1079" t="s">
        <v>2206</v>
      </c>
      <c r="C16" s="1055" t="s">
        <v>2181</v>
      </c>
      <c r="D16" s="1088">
        <v>0</v>
      </c>
      <c r="E16" s="1089">
        <v>1</v>
      </c>
      <c r="F16" s="1089">
        <v>1</v>
      </c>
      <c r="G16" s="1090">
        <v>0</v>
      </c>
      <c r="H16" s="1059"/>
      <c r="I16" s="1060">
        <v>1</v>
      </c>
      <c r="J16" s="1060"/>
      <c r="K16" s="1060"/>
      <c r="L16" s="1060"/>
      <c r="M16" s="1061"/>
      <c r="N16" s="1061"/>
      <c r="O16" s="1061"/>
      <c r="P16" s="1062"/>
      <c r="Q16" s="1062">
        <f t="shared" si="22"/>
        <v>1</v>
      </c>
      <c r="R16" s="1062">
        <f t="shared" si="22"/>
        <v>0</v>
      </c>
      <c r="S16" s="1062" t="e">
        <f t="shared" si="22"/>
        <v>#DIV/0!</v>
      </c>
      <c r="T16" s="1085" t="s">
        <v>2207</v>
      </c>
      <c r="U16" s="1034">
        <v>46022</v>
      </c>
      <c r="V16" s="1035">
        <f t="shared" si="24"/>
        <v>2</v>
      </c>
      <c r="W16" s="1035">
        <f t="shared" si="25"/>
        <v>1</v>
      </c>
      <c r="X16" s="1064">
        <f>IF(W16/V16&gt;=100%,100%,W16/V16)</f>
        <v>0.5</v>
      </c>
      <c r="Y16" s="1065">
        <v>0.1</v>
      </c>
      <c r="Z16" s="1065">
        <v>0</v>
      </c>
      <c r="AA16" s="1065">
        <v>0.1</v>
      </c>
      <c r="AB16" s="1065">
        <v>0.1</v>
      </c>
      <c r="AC16" s="1065">
        <v>0.1</v>
      </c>
      <c r="AD16" s="1066"/>
      <c r="AE16" s="1066">
        <v>648000000</v>
      </c>
      <c r="AF16" s="1066">
        <v>798000000</v>
      </c>
      <c r="AG16" s="1066">
        <v>0</v>
      </c>
      <c r="AH16" s="1075"/>
      <c r="AI16" s="1075">
        <v>648000000</v>
      </c>
      <c r="AJ16" s="1075"/>
      <c r="AK16" s="1075"/>
      <c r="AL16" s="1039" t="e">
        <f t="shared" si="14"/>
        <v>#DIV/0!</v>
      </c>
      <c r="AM16" s="1039">
        <f t="shared" si="14"/>
        <v>1</v>
      </c>
      <c r="AN16" s="1039">
        <f t="shared" si="14"/>
        <v>0</v>
      </c>
      <c r="AO16" s="1039" t="e">
        <f t="shared" si="14"/>
        <v>#DIV/0!</v>
      </c>
      <c r="AP16" s="1087"/>
      <c r="AQ16" s="1068">
        <v>640740206.76999998</v>
      </c>
      <c r="AR16" s="1069"/>
      <c r="AS16" s="1069"/>
      <c r="AT16" s="1043" t="e">
        <f t="shared" si="15"/>
        <v>#DIV/0!</v>
      </c>
      <c r="AU16" s="1043">
        <f t="shared" si="15"/>
        <v>0.98879661538580244</v>
      </c>
      <c r="AV16" s="1043">
        <f t="shared" si="4"/>
        <v>0</v>
      </c>
      <c r="AW16" s="1043" t="e">
        <f t="shared" si="4"/>
        <v>#DIV/0!</v>
      </c>
      <c r="AX16" s="1044">
        <f t="shared" si="23"/>
        <v>0</v>
      </c>
      <c r="AY16" s="1044">
        <f t="shared" si="23"/>
        <v>7259793.2300000191</v>
      </c>
      <c r="AZ16" s="1044">
        <f t="shared" si="23"/>
        <v>0</v>
      </c>
      <c r="BA16" s="1044">
        <f t="shared" si="23"/>
        <v>0</v>
      </c>
      <c r="BB16" s="1075"/>
      <c r="BC16" s="1075"/>
      <c r="BD16" s="1075"/>
      <c r="BE16" s="1075"/>
      <c r="BF16" s="1071" t="e">
        <f t="shared" si="17"/>
        <v>#DIV/0!</v>
      </c>
      <c r="BG16" s="1071">
        <f t="shared" si="6"/>
        <v>0</v>
      </c>
      <c r="BH16" s="1071" t="e">
        <f t="shared" si="6"/>
        <v>#DIV/0!</v>
      </c>
      <c r="BI16" s="1071" t="e">
        <f t="shared" si="6"/>
        <v>#DIV/0!</v>
      </c>
      <c r="BJ16" s="1075">
        <f t="shared" si="7"/>
        <v>1446000000</v>
      </c>
      <c r="BK16" s="1091">
        <f t="shared" si="8"/>
        <v>648000000</v>
      </c>
      <c r="BL16" s="1092">
        <f t="shared" si="9"/>
        <v>0.44813278008298757</v>
      </c>
      <c r="BM16" s="1091">
        <f t="shared" si="10"/>
        <v>640740206.76999998</v>
      </c>
      <c r="BN16" s="1093">
        <f t="shared" si="11"/>
        <v>0.44311217618948823</v>
      </c>
      <c r="BO16" s="1075"/>
      <c r="BP16" s="1081" t="s">
        <v>2183</v>
      </c>
      <c r="BQ16" s="1082" t="s">
        <v>3</v>
      </c>
      <c r="BR16" s="1083" t="s">
        <v>596</v>
      </c>
    </row>
    <row r="17" spans="1:70" ht="58.5" customHeight="1" thickBot="1">
      <c r="A17" s="1094" t="s">
        <v>2208</v>
      </c>
      <c r="B17" s="1095" t="s">
        <v>2209</v>
      </c>
      <c r="C17" s="1096" t="s">
        <v>597</v>
      </c>
      <c r="D17" s="1097">
        <v>1</v>
      </c>
      <c r="E17" s="1098">
        <v>1</v>
      </c>
      <c r="F17" s="1098">
        <v>1</v>
      </c>
      <c r="G17" s="1099">
        <v>1</v>
      </c>
      <c r="H17" s="1100">
        <v>1</v>
      </c>
      <c r="I17" s="1098">
        <v>1</v>
      </c>
      <c r="J17" s="1101"/>
      <c r="K17" s="1101"/>
      <c r="L17" s="1101"/>
      <c r="M17" s="1101"/>
      <c r="N17" s="1101"/>
      <c r="O17" s="1101"/>
      <c r="P17" s="1102">
        <f t="shared" si="22"/>
        <v>1</v>
      </c>
      <c r="Q17" s="1102">
        <f t="shared" si="22"/>
        <v>1</v>
      </c>
      <c r="R17" s="1102">
        <f t="shared" si="22"/>
        <v>0</v>
      </c>
      <c r="S17" s="1102">
        <f t="shared" si="22"/>
        <v>0</v>
      </c>
      <c r="T17" s="1103" t="s">
        <v>2210</v>
      </c>
      <c r="U17" s="1034">
        <v>46022</v>
      </c>
      <c r="V17" s="1035">
        <f t="shared" si="24"/>
        <v>4</v>
      </c>
      <c r="W17" s="1035">
        <f t="shared" si="25"/>
        <v>2</v>
      </c>
      <c r="X17" s="1036">
        <f>IF(W17/V17&gt;=100%,100%,W17/V17)</f>
        <v>0.5</v>
      </c>
      <c r="Y17" s="1104">
        <v>0.1</v>
      </c>
      <c r="Z17" s="1104">
        <v>0.15</v>
      </c>
      <c r="AA17" s="1105">
        <v>0.1</v>
      </c>
      <c r="AB17" s="1105">
        <v>0.1</v>
      </c>
      <c r="AC17" s="1105">
        <v>0.1</v>
      </c>
      <c r="AD17" s="1106">
        <v>200000000</v>
      </c>
      <c r="AE17" s="1106">
        <v>265500000</v>
      </c>
      <c r="AF17" s="1106">
        <v>313500000</v>
      </c>
      <c r="AG17" s="1106">
        <v>350000000</v>
      </c>
      <c r="AH17" s="1106">
        <v>187581245</v>
      </c>
      <c r="AI17" s="1106">
        <v>261030191</v>
      </c>
      <c r="AJ17" s="1106"/>
      <c r="AK17" s="1106"/>
      <c r="AL17" s="1039">
        <f t="shared" si="14"/>
        <v>0.93790622499999998</v>
      </c>
      <c r="AM17" s="1039">
        <f t="shared" si="14"/>
        <v>0.98316456120527307</v>
      </c>
      <c r="AN17" s="1039">
        <f t="shared" si="14"/>
        <v>0</v>
      </c>
      <c r="AO17" s="1039">
        <f t="shared" si="14"/>
        <v>0</v>
      </c>
      <c r="AP17" s="1107">
        <v>162598369</v>
      </c>
      <c r="AQ17" s="1108">
        <v>249279885.63</v>
      </c>
      <c r="AR17" s="1109"/>
      <c r="AS17" s="1109"/>
      <c r="AT17" s="1043">
        <f t="shared" si="15"/>
        <v>0.81299184499999999</v>
      </c>
      <c r="AU17" s="1043">
        <f t="shared" si="15"/>
        <v>0.93890729050847455</v>
      </c>
      <c r="AV17" s="1043">
        <f t="shared" si="4"/>
        <v>0</v>
      </c>
      <c r="AW17" s="1043">
        <f t="shared" si="4"/>
        <v>0</v>
      </c>
      <c r="AX17" s="1044">
        <f t="shared" si="23"/>
        <v>24982876</v>
      </c>
      <c r="AY17" s="1044">
        <f t="shared" si="23"/>
        <v>11750305.370000005</v>
      </c>
      <c r="AZ17" s="1044">
        <f t="shared" si="23"/>
        <v>0</v>
      </c>
      <c r="BA17" s="1044">
        <f t="shared" si="23"/>
        <v>0</v>
      </c>
      <c r="BB17" s="1107"/>
      <c r="BC17" s="1107"/>
      <c r="BD17" s="1107"/>
      <c r="BE17" s="1107"/>
      <c r="BF17" s="1105">
        <f t="shared" si="17"/>
        <v>0</v>
      </c>
      <c r="BG17" s="1105">
        <f t="shared" si="6"/>
        <v>0</v>
      </c>
      <c r="BH17" s="1105" t="e">
        <f t="shared" si="6"/>
        <v>#DIV/0!</v>
      </c>
      <c r="BI17" s="1105" t="e">
        <f t="shared" si="6"/>
        <v>#DIV/0!</v>
      </c>
      <c r="BJ17" s="1107">
        <f t="shared" si="7"/>
        <v>1129000000</v>
      </c>
      <c r="BK17" s="1110">
        <f t="shared" si="8"/>
        <v>448611436</v>
      </c>
      <c r="BL17" s="1111">
        <f t="shared" si="9"/>
        <v>0.39735291054030114</v>
      </c>
      <c r="BM17" s="1110">
        <f t="shared" si="10"/>
        <v>411878254.63</v>
      </c>
      <c r="BN17" s="1112">
        <f t="shared" si="11"/>
        <v>0.36481687744021257</v>
      </c>
      <c r="BO17" s="1113"/>
      <c r="BP17" s="1114" t="s">
        <v>2183</v>
      </c>
      <c r="BQ17" s="1115" t="s">
        <v>2193</v>
      </c>
      <c r="BR17" s="1116" t="s">
        <v>596</v>
      </c>
    </row>
    <row r="18" spans="1:70" thickBot="1">
      <c r="A18" s="1117" t="s">
        <v>2211</v>
      </c>
      <c r="B18" s="1117"/>
      <c r="C18" s="1118"/>
      <c r="D18" s="1118"/>
      <c r="E18" s="1119"/>
      <c r="F18" s="1119"/>
      <c r="G18" s="1119"/>
      <c r="H18" s="1119"/>
      <c r="I18" s="1119"/>
      <c r="J18" s="1119"/>
      <c r="K18" s="1119"/>
      <c r="L18" s="1119"/>
      <c r="M18" s="1119"/>
      <c r="N18" s="1119"/>
      <c r="O18" s="1119"/>
      <c r="P18" s="1120">
        <f>+SUMPRODUCT(P19:P21,Z19:Z21)</f>
        <v>0</v>
      </c>
      <c r="Q18" s="1121">
        <f>+SUMPRODUCT(Q19:Q21,AA19:AA21)</f>
        <v>0.6</v>
      </c>
      <c r="R18" s="1122" t="e">
        <f>+SUMPRODUCT(R19:R21,AB19:AB21)</f>
        <v>#DIV/0!</v>
      </c>
      <c r="S18" s="1122" t="e">
        <f>+SUMPRODUCT(S19:S21,AC19:AC21)</f>
        <v>#DIV/0!</v>
      </c>
      <c r="T18" s="1123"/>
      <c r="U18" s="1124"/>
      <c r="V18" s="1125"/>
      <c r="W18" s="1125"/>
      <c r="X18" s="1120">
        <f>+SUMPRODUCT(X19:X21,Y19:Y21)</f>
        <v>0.22500000000000001</v>
      </c>
      <c r="Y18" s="1121">
        <v>0.05</v>
      </c>
      <c r="Z18" s="1121">
        <v>0</v>
      </c>
      <c r="AA18" s="1121">
        <v>0.05</v>
      </c>
      <c r="AB18" s="1121">
        <v>0.05</v>
      </c>
      <c r="AC18" s="1121">
        <v>0.05</v>
      </c>
      <c r="AD18" s="1125">
        <f t="shared" ref="AD18:AK18" si="27">SUM(AD19:AD21)</f>
        <v>0</v>
      </c>
      <c r="AE18" s="1125">
        <f t="shared" si="27"/>
        <v>1377000000</v>
      </c>
      <c r="AF18" s="1125">
        <f t="shared" si="27"/>
        <v>1938000000</v>
      </c>
      <c r="AG18" s="1125">
        <f t="shared" si="27"/>
        <v>0</v>
      </c>
      <c r="AH18" s="1125">
        <f t="shared" si="27"/>
        <v>0</v>
      </c>
      <c r="AI18" s="1125">
        <f t="shared" si="27"/>
        <v>1376999980</v>
      </c>
      <c r="AJ18" s="1125">
        <f t="shared" si="27"/>
        <v>0</v>
      </c>
      <c r="AK18" s="1125">
        <f t="shared" si="27"/>
        <v>0</v>
      </c>
      <c r="AL18" s="1126" t="e">
        <f t="shared" si="14"/>
        <v>#DIV/0!</v>
      </c>
      <c r="AM18" s="1126">
        <f t="shared" si="14"/>
        <v>0.9999999854756717</v>
      </c>
      <c r="AN18" s="1126">
        <f t="shared" si="14"/>
        <v>0</v>
      </c>
      <c r="AO18" s="1126" t="e">
        <f t="shared" si="14"/>
        <v>#DIV/0!</v>
      </c>
      <c r="AP18" s="1125">
        <f>SUM(AP19:AP21)</f>
        <v>0</v>
      </c>
      <c r="AQ18" s="1127">
        <f t="shared" ref="AQ18:AS18" si="28">SUM(AQ19:AQ21)</f>
        <v>826676676.04999995</v>
      </c>
      <c r="AR18" s="1125">
        <f t="shared" si="28"/>
        <v>0</v>
      </c>
      <c r="AS18" s="1125">
        <f t="shared" si="28"/>
        <v>0</v>
      </c>
      <c r="AT18" s="1128" t="e">
        <f t="shared" si="15"/>
        <v>#DIV/0!</v>
      </c>
      <c r="AU18" s="1128">
        <f t="shared" si="15"/>
        <v>0.60034616997095136</v>
      </c>
      <c r="AV18" s="1128">
        <f t="shared" si="4"/>
        <v>0</v>
      </c>
      <c r="AW18" s="1128" t="e">
        <f t="shared" si="4"/>
        <v>#DIV/0!</v>
      </c>
      <c r="AX18" s="1125">
        <f t="shared" ref="AX18:BE18" si="29">SUM(AX19:AX21)</f>
        <v>0</v>
      </c>
      <c r="AY18" s="1125">
        <f t="shared" si="29"/>
        <v>550323303.95000005</v>
      </c>
      <c r="AZ18" s="1125">
        <f t="shared" si="29"/>
        <v>0</v>
      </c>
      <c r="BA18" s="1125">
        <f t="shared" si="29"/>
        <v>0</v>
      </c>
      <c r="BB18" s="1125">
        <f t="shared" si="29"/>
        <v>0</v>
      </c>
      <c r="BC18" s="1125">
        <f t="shared" si="29"/>
        <v>0</v>
      </c>
      <c r="BD18" s="1125">
        <f t="shared" si="29"/>
        <v>0</v>
      </c>
      <c r="BE18" s="1125">
        <f t="shared" si="29"/>
        <v>0</v>
      </c>
      <c r="BF18" s="1121" t="e">
        <f t="shared" si="17"/>
        <v>#DIV/0!</v>
      </c>
      <c r="BG18" s="1121">
        <f t="shared" si="6"/>
        <v>0</v>
      </c>
      <c r="BH18" s="1121" t="e">
        <f t="shared" si="6"/>
        <v>#DIV/0!</v>
      </c>
      <c r="BI18" s="1121" t="e">
        <f t="shared" si="6"/>
        <v>#DIV/0!</v>
      </c>
      <c r="BJ18" s="1125">
        <f t="shared" si="7"/>
        <v>3315000000</v>
      </c>
      <c r="BK18" s="1127">
        <f t="shared" si="8"/>
        <v>1376999980</v>
      </c>
      <c r="BL18" s="1121">
        <f t="shared" si="9"/>
        <v>0.4153846093514329</v>
      </c>
      <c r="BM18" s="1127">
        <f t="shared" si="10"/>
        <v>826676676.04999995</v>
      </c>
      <c r="BN18" s="1128">
        <f t="shared" si="11"/>
        <v>0.24937456291101054</v>
      </c>
      <c r="BO18" s="1118"/>
      <c r="BP18" s="1129"/>
      <c r="BQ18" s="1130"/>
      <c r="BR18" s="1131"/>
    </row>
    <row r="19" spans="1:70" ht="143.4" thickBot="1">
      <c r="A19" s="1023" t="s">
        <v>2212</v>
      </c>
      <c r="B19" s="1132" t="s">
        <v>2213</v>
      </c>
      <c r="C19" s="1025" t="s">
        <v>2181</v>
      </c>
      <c r="D19" s="1133">
        <v>0</v>
      </c>
      <c r="E19" s="1134">
        <v>1</v>
      </c>
      <c r="F19" s="1134">
        <v>0</v>
      </c>
      <c r="G19" s="1135">
        <v>0</v>
      </c>
      <c r="H19" s="1029"/>
      <c r="I19" s="1030">
        <v>0</v>
      </c>
      <c r="J19" s="1030"/>
      <c r="K19" s="1030"/>
      <c r="L19" s="1030"/>
      <c r="M19" s="1031"/>
      <c r="N19" s="1031"/>
      <c r="O19" s="1031"/>
      <c r="P19" s="1032"/>
      <c r="Q19" s="1032">
        <f t="shared" ref="Q19:S19" si="30">IF((I19+M19)/E19&gt;=100%,100%,(I19+M19)/E19)</f>
        <v>0</v>
      </c>
      <c r="R19" s="1032" t="e">
        <f t="shared" si="30"/>
        <v>#DIV/0!</v>
      </c>
      <c r="S19" s="1032" t="e">
        <f t="shared" si="30"/>
        <v>#DIV/0!</v>
      </c>
      <c r="T19" s="1136" t="s">
        <v>2214</v>
      </c>
      <c r="U19" s="1034">
        <v>46022</v>
      </c>
      <c r="V19" s="1035">
        <f>SUM(D19:G19)</f>
        <v>1</v>
      </c>
      <c r="W19" s="1035">
        <f>SUM(H19:N19)</f>
        <v>0</v>
      </c>
      <c r="X19" s="1036">
        <f>IF(W19/V19&gt;=100%,100%,W19/V19)</f>
        <v>0</v>
      </c>
      <c r="Y19" s="1037">
        <v>0.25</v>
      </c>
      <c r="Z19" s="1037">
        <v>0</v>
      </c>
      <c r="AA19" s="1037">
        <v>0.4</v>
      </c>
      <c r="AB19" s="1037">
        <v>0.4</v>
      </c>
      <c r="AC19" s="1037">
        <v>0.4</v>
      </c>
      <c r="AD19" s="1137">
        <v>0</v>
      </c>
      <c r="AE19" s="1137">
        <v>729000000</v>
      </c>
      <c r="AF19" s="1137">
        <v>0</v>
      </c>
      <c r="AG19" s="1137">
        <v>0</v>
      </c>
      <c r="AH19" s="1049"/>
      <c r="AI19" s="1137">
        <v>728999980</v>
      </c>
      <c r="AJ19" s="1137"/>
      <c r="AK19" s="1137"/>
      <c r="AL19" s="1039" t="e">
        <f t="shared" si="14"/>
        <v>#DIV/0!</v>
      </c>
      <c r="AM19" s="1039">
        <f t="shared" si="14"/>
        <v>0.99999997256515771</v>
      </c>
      <c r="AN19" s="1039" t="e">
        <f t="shared" si="14"/>
        <v>#DIV/0!</v>
      </c>
      <c r="AO19" s="1039" t="e">
        <f t="shared" si="14"/>
        <v>#DIV/0!</v>
      </c>
      <c r="AP19" s="1138"/>
      <c r="AQ19" s="1139">
        <v>185638968.28</v>
      </c>
      <c r="AR19" s="1042"/>
      <c r="AS19" s="1042"/>
      <c r="AT19" s="1140" t="e">
        <f t="shared" si="15"/>
        <v>#DIV/0!</v>
      </c>
      <c r="AU19" s="1140">
        <f t="shared" si="15"/>
        <v>0.25464879050754458</v>
      </c>
      <c r="AV19" s="1140" t="e">
        <f t="shared" si="4"/>
        <v>#DIV/0!</v>
      </c>
      <c r="AW19" s="1140" t="e">
        <f t="shared" si="4"/>
        <v>#DIV/0!</v>
      </c>
      <c r="AX19" s="1044">
        <f t="shared" si="23"/>
        <v>0</v>
      </c>
      <c r="AY19" s="1044">
        <f t="shared" si="23"/>
        <v>543361011.72000003</v>
      </c>
      <c r="AZ19" s="1044">
        <f t="shared" si="23"/>
        <v>0</v>
      </c>
      <c r="BA19" s="1044">
        <f t="shared" si="23"/>
        <v>0</v>
      </c>
      <c r="BB19" s="1049"/>
      <c r="BC19" s="1049"/>
      <c r="BD19" s="1049"/>
      <c r="BE19" s="1049"/>
      <c r="BF19" s="1045" t="e">
        <f t="shared" si="17"/>
        <v>#DIV/0!</v>
      </c>
      <c r="BG19" s="1045">
        <f t="shared" si="6"/>
        <v>0</v>
      </c>
      <c r="BH19" s="1045" t="e">
        <f t="shared" si="6"/>
        <v>#DIV/0!</v>
      </c>
      <c r="BI19" s="1045" t="e">
        <f t="shared" si="6"/>
        <v>#DIV/0!</v>
      </c>
      <c r="BJ19" s="1049">
        <f t="shared" si="7"/>
        <v>729000000</v>
      </c>
      <c r="BK19" s="1141">
        <f t="shared" si="8"/>
        <v>728999980</v>
      </c>
      <c r="BL19" s="1142">
        <f t="shared" si="9"/>
        <v>0.99999997256515771</v>
      </c>
      <c r="BM19" s="1141">
        <f t="shared" si="10"/>
        <v>185638968.28</v>
      </c>
      <c r="BN19" s="1143">
        <f t="shared" si="11"/>
        <v>0.25464879050754458</v>
      </c>
      <c r="BO19" s="1049"/>
      <c r="BP19" s="1144" t="s">
        <v>2183</v>
      </c>
      <c r="BQ19" s="1145" t="s">
        <v>2215</v>
      </c>
      <c r="BR19" s="1146" t="s">
        <v>596</v>
      </c>
    </row>
    <row r="20" spans="1:70" ht="55.8" thickBot="1">
      <c r="A20" s="1053" t="s">
        <v>2216</v>
      </c>
      <c r="B20" s="1079" t="s">
        <v>2217</v>
      </c>
      <c r="C20" s="1055" t="s">
        <v>2181</v>
      </c>
      <c r="D20" s="1147">
        <v>0</v>
      </c>
      <c r="E20" s="1148">
        <v>0</v>
      </c>
      <c r="F20" s="1148">
        <v>1</v>
      </c>
      <c r="G20" s="1149">
        <v>0</v>
      </c>
      <c r="H20" s="1059"/>
      <c r="I20" s="1060"/>
      <c r="J20" s="1060"/>
      <c r="K20" s="1060"/>
      <c r="L20" s="1060"/>
      <c r="M20" s="1061"/>
      <c r="N20" s="1061"/>
      <c r="O20" s="1061"/>
      <c r="P20" s="1150"/>
      <c r="Q20" s="1064"/>
      <c r="R20" s="1064">
        <f t="shared" ref="R20:S21" si="31">IF(J20/F20&gt;=100%,100%,J20/F20)</f>
        <v>0</v>
      </c>
      <c r="S20" s="1064" t="e">
        <f t="shared" si="31"/>
        <v>#DIV/0!</v>
      </c>
      <c r="T20" s="1080"/>
      <c r="U20" s="1034">
        <v>46022</v>
      </c>
      <c r="V20" s="1035">
        <f t="shared" ref="V20:V21" si="32">SUM(D20:G20)</f>
        <v>1</v>
      </c>
      <c r="W20" s="1035">
        <f t="shared" ref="W20:W21" si="33">SUM(H20:N20)</f>
        <v>0</v>
      </c>
      <c r="X20" s="1064">
        <f t="shared" ref="X20" si="34">IF(W20/V20&gt;=100%,100%,W20/V20)</f>
        <v>0</v>
      </c>
      <c r="Y20" s="1065">
        <v>0.3</v>
      </c>
      <c r="Z20" s="1065">
        <v>0</v>
      </c>
      <c r="AA20" s="1065">
        <v>0</v>
      </c>
      <c r="AB20" s="1065">
        <v>0</v>
      </c>
      <c r="AC20" s="1065">
        <v>0</v>
      </c>
      <c r="AD20" s="1066">
        <v>0</v>
      </c>
      <c r="AE20" s="1066">
        <v>0</v>
      </c>
      <c r="AF20" s="1066">
        <v>1140000000</v>
      </c>
      <c r="AG20" s="1066">
        <v>0</v>
      </c>
      <c r="AH20" s="1075"/>
      <c r="AI20" s="1075"/>
      <c r="AJ20" s="1075"/>
      <c r="AK20" s="1075"/>
      <c r="AL20" s="1112" t="e">
        <f t="shared" si="14"/>
        <v>#DIV/0!</v>
      </c>
      <c r="AM20" s="1112" t="e">
        <f t="shared" si="14"/>
        <v>#DIV/0!</v>
      </c>
      <c r="AN20" s="1112">
        <f t="shared" si="14"/>
        <v>0</v>
      </c>
      <c r="AO20" s="1112" t="e">
        <f t="shared" si="14"/>
        <v>#DIV/0!</v>
      </c>
      <c r="AP20" s="1087"/>
      <c r="AQ20" s="1068"/>
      <c r="AR20" s="1069"/>
      <c r="AS20" s="1069"/>
      <c r="AT20" s="1140" t="e">
        <f t="shared" si="15"/>
        <v>#DIV/0!</v>
      </c>
      <c r="AU20" s="1140" t="e">
        <f t="shared" si="15"/>
        <v>#DIV/0!</v>
      </c>
      <c r="AV20" s="1140">
        <f t="shared" si="4"/>
        <v>0</v>
      </c>
      <c r="AW20" s="1140" t="e">
        <f t="shared" si="4"/>
        <v>#DIV/0!</v>
      </c>
      <c r="AX20" s="1044">
        <f t="shared" si="23"/>
        <v>0</v>
      </c>
      <c r="AY20" s="1044">
        <f t="shared" si="23"/>
        <v>0</v>
      </c>
      <c r="AZ20" s="1044">
        <f t="shared" si="23"/>
        <v>0</v>
      </c>
      <c r="BA20" s="1044">
        <f t="shared" si="23"/>
        <v>0</v>
      </c>
      <c r="BB20" s="1075"/>
      <c r="BC20" s="1075"/>
      <c r="BD20" s="1075"/>
      <c r="BE20" s="1075"/>
      <c r="BF20" s="1071" t="e">
        <f t="shared" si="17"/>
        <v>#DIV/0!</v>
      </c>
      <c r="BG20" s="1071" t="e">
        <f t="shared" si="6"/>
        <v>#DIV/0!</v>
      </c>
      <c r="BH20" s="1071" t="e">
        <f t="shared" si="6"/>
        <v>#DIV/0!</v>
      </c>
      <c r="BI20" s="1071" t="e">
        <f t="shared" si="6"/>
        <v>#DIV/0!</v>
      </c>
      <c r="BJ20" s="1075">
        <f t="shared" si="7"/>
        <v>1140000000</v>
      </c>
      <c r="BK20" s="1091">
        <f t="shared" si="8"/>
        <v>0</v>
      </c>
      <c r="BL20" s="1092">
        <f t="shared" si="9"/>
        <v>0</v>
      </c>
      <c r="BM20" s="1091">
        <f t="shared" si="10"/>
        <v>0</v>
      </c>
      <c r="BN20" s="1093">
        <f t="shared" si="11"/>
        <v>0</v>
      </c>
      <c r="BO20" s="1075"/>
      <c r="BP20" s="1081" t="s">
        <v>2183</v>
      </c>
      <c r="BQ20" s="1082" t="s">
        <v>2193</v>
      </c>
      <c r="BR20" s="1151" t="s">
        <v>596</v>
      </c>
    </row>
    <row r="21" spans="1:70" ht="45" customHeight="1" thickBot="1">
      <c r="A21" s="1094" t="s">
        <v>2218</v>
      </c>
      <c r="B21" s="1095" t="s">
        <v>2219</v>
      </c>
      <c r="C21" s="1152" t="s">
        <v>2181</v>
      </c>
      <c r="D21" s="1153">
        <v>0</v>
      </c>
      <c r="E21" s="1154">
        <v>1</v>
      </c>
      <c r="F21" s="1154">
        <v>1</v>
      </c>
      <c r="G21" s="1155">
        <v>0</v>
      </c>
      <c r="H21" s="1101"/>
      <c r="I21" s="1101">
        <v>1</v>
      </c>
      <c r="J21" s="1101"/>
      <c r="K21" s="1101"/>
      <c r="L21" s="1101"/>
      <c r="M21" s="1101"/>
      <c r="N21" s="1101"/>
      <c r="O21" s="1101"/>
      <c r="P21" s="1156"/>
      <c r="Q21" s="1157">
        <f t="shared" ref="Q21" si="35">IF((I21+M21)/E21&gt;=100%,100%,(I21+M21)/E21)</f>
        <v>1</v>
      </c>
      <c r="R21" s="1157">
        <f t="shared" si="31"/>
        <v>0</v>
      </c>
      <c r="S21" s="1157" t="e">
        <f t="shared" si="31"/>
        <v>#DIV/0!</v>
      </c>
      <c r="T21" s="1158" t="s">
        <v>2220</v>
      </c>
      <c r="U21" s="1034">
        <v>46022</v>
      </c>
      <c r="V21" s="1035">
        <f t="shared" si="32"/>
        <v>2</v>
      </c>
      <c r="W21" s="1035">
        <f t="shared" si="33"/>
        <v>1</v>
      </c>
      <c r="X21" s="1036">
        <f>IF(W21/V21&gt;=100%,100%,W21/V21)</f>
        <v>0.5</v>
      </c>
      <c r="Y21" s="1104">
        <v>0.45</v>
      </c>
      <c r="Z21" s="1104">
        <v>0</v>
      </c>
      <c r="AA21" s="1105">
        <v>0.6</v>
      </c>
      <c r="AB21" s="1105">
        <v>0.6</v>
      </c>
      <c r="AC21" s="1105">
        <v>0.6</v>
      </c>
      <c r="AD21" s="1106">
        <v>0</v>
      </c>
      <c r="AE21" s="1106">
        <v>648000000</v>
      </c>
      <c r="AF21" s="1106">
        <v>798000000</v>
      </c>
      <c r="AG21" s="1106"/>
      <c r="AH21" s="1106">
        <v>0</v>
      </c>
      <c r="AI21" s="1106">
        <v>648000000</v>
      </c>
      <c r="AJ21" s="1106"/>
      <c r="AK21" s="1106"/>
      <c r="AL21" s="1039" t="e">
        <f t="shared" si="14"/>
        <v>#DIV/0!</v>
      </c>
      <c r="AM21" s="1039">
        <f t="shared" si="14"/>
        <v>1</v>
      </c>
      <c r="AN21" s="1039">
        <f t="shared" si="14"/>
        <v>0</v>
      </c>
      <c r="AO21" s="1039" t="e">
        <f t="shared" si="14"/>
        <v>#DIV/0!</v>
      </c>
      <c r="AP21" s="1109">
        <v>0</v>
      </c>
      <c r="AQ21" s="1108">
        <v>641037707.76999998</v>
      </c>
      <c r="AR21" s="1109"/>
      <c r="AS21" s="1109"/>
      <c r="AT21" s="1140" t="e">
        <f t="shared" si="15"/>
        <v>#DIV/0!</v>
      </c>
      <c r="AU21" s="1140">
        <f t="shared" si="15"/>
        <v>0.98925572186728394</v>
      </c>
      <c r="AV21" s="1140">
        <f t="shared" si="4"/>
        <v>0</v>
      </c>
      <c r="AW21" s="1140" t="e">
        <f t="shared" si="4"/>
        <v>#DIV/0!</v>
      </c>
      <c r="AX21" s="1044">
        <f t="shared" si="23"/>
        <v>0</v>
      </c>
      <c r="AY21" s="1044">
        <f t="shared" si="23"/>
        <v>6962292.2300000191</v>
      </c>
      <c r="AZ21" s="1044">
        <f t="shared" si="23"/>
        <v>0</v>
      </c>
      <c r="BA21" s="1044">
        <f t="shared" si="23"/>
        <v>0</v>
      </c>
      <c r="BB21" s="1107"/>
      <c r="BC21" s="1107"/>
      <c r="BD21" s="1107"/>
      <c r="BE21" s="1107"/>
      <c r="BF21" s="1105" t="e">
        <f t="shared" si="17"/>
        <v>#DIV/0!</v>
      </c>
      <c r="BG21" s="1105">
        <f t="shared" si="6"/>
        <v>0</v>
      </c>
      <c r="BH21" s="1105" t="e">
        <f t="shared" si="6"/>
        <v>#DIV/0!</v>
      </c>
      <c r="BI21" s="1105" t="e">
        <f t="shared" si="6"/>
        <v>#DIV/0!</v>
      </c>
      <c r="BJ21" s="1107">
        <f t="shared" si="7"/>
        <v>1446000000</v>
      </c>
      <c r="BK21" s="1110">
        <f t="shared" si="8"/>
        <v>648000000</v>
      </c>
      <c r="BL21" s="1111">
        <f t="shared" si="9"/>
        <v>0.44813278008298757</v>
      </c>
      <c r="BM21" s="1110">
        <f t="shared" si="10"/>
        <v>641037707.76999998</v>
      </c>
      <c r="BN21" s="1112">
        <f t="shared" si="11"/>
        <v>0.44331791685338867</v>
      </c>
      <c r="BO21" s="1113"/>
      <c r="BP21" s="1114" t="s">
        <v>2183</v>
      </c>
      <c r="BQ21" s="1115" t="s">
        <v>2221</v>
      </c>
      <c r="BR21" s="1159" t="s">
        <v>596</v>
      </c>
    </row>
    <row r="22" spans="1:70" ht="15.75" customHeight="1" thickBot="1">
      <c r="A22" s="1117" t="s">
        <v>2222</v>
      </c>
      <c r="B22" s="1117"/>
      <c r="C22" s="1118"/>
      <c r="D22" s="1118"/>
      <c r="E22" s="1119"/>
      <c r="F22" s="1119"/>
      <c r="G22" s="1119"/>
      <c r="H22" s="1119"/>
      <c r="I22" s="1119"/>
      <c r="J22" s="1119"/>
      <c r="K22" s="1119"/>
      <c r="L22" s="1119"/>
      <c r="M22" s="1119"/>
      <c r="N22" s="1119"/>
      <c r="O22" s="1119"/>
      <c r="P22" s="1120">
        <f>+SUMPRODUCT(P23:P28,Z23:Z28)</f>
        <v>1</v>
      </c>
      <c r="Q22" s="1121">
        <f>+SUMPRODUCT(Q23:Q28,AA23:AA28)</f>
        <v>1</v>
      </c>
      <c r="R22" s="1122">
        <f>+SUMPRODUCT(R23:R28,AB23:AB28)</f>
        <v>0</v>
      </c>
      <c r="S22" s="1122">
        <f>+SUMPRODUCT(S23:S28,AC23:AC28)</f>
        <v>0</v>
      </c>
      <c r="T22" s="1160"/>
      <c r="U22" s="1117"/>
      <c r="V22" s="1125"/>
      <c r="W22" s="1125"/>
      <c r="X22" s="1120">
        <f>+SUMPRODUCT(X23:X28,Y23:Y28)</f>
        <v>0.71250000000000002</v>
      </c>
      <c r="Y22" s="1121">
        <v>0.85</v>
      </c>
      <c r="Z22" s="1121">
        <v>0.875</v>
      </c>
      <c r="AA22" s="1121">
        <v>0.85</v>
      </c>
      <c r="AB22" s="1121">
        <v>0.85</v>
      </c>
      <c r="AC22" s="1121">
        <v>0.85</v>
      </c>
      <c r="AD22" s="1127">
        <f>SUM(AD23:AD28)</f>
        <v>17281750571.055962</v>
      </c>
      <c r="AE22" s="1127">
        <f>SUM(AE23:AE28)</f>
        <v>29037517718.720001</v>
      </c>
      <c r="AF22" s="1127">
        <f t="shared" ref="AF22:AK22" si="36">SUM(AF23:AF28)</f>
        <v>25839590837.674816</v>
      </c>
      <c r="AG22" s="1127">
        <f t="shared" si="36"/>
        <v>30144231380.358559</v>
      </c>
      <c r="AH22" s="1125">
        <f t="shared" si="36"/>
        <v>14054908228.466494</v>
      </c>
      <c r="AI22" s="1125">
        <f t="shared" si="36"/>
        <v>26747542831.029999</v>
      </c>
      <c r="AJ22" s="1125">
        <f t="shared" si="36"/>
        <v>0</v>
      </c>
      <c r="AK22" s="1125">
        <f t="shared" si="36"/>
        <v>0</v>
      </c>
      <c r="AL22" s="1128">
        <f t="shared" si="14"/>
        <v>0.81328035436445378</v>
      </c>
      <c r="AM22" s="1128">
        <f t="shared" si="14"/>
        <v>0.92113737441772803</v>
      </c>
      <c r="AN22" s="1128">
        <f t="shared" si="14"/>
        <v>0</v>
      </c>
      <c r="AO22" s="1128">
        <f t="shared" si="14"/>
        <v>0</v>
      </c>
      <c r="AP22" s="1127">
        <f t="shared" ref="AP22:AS22" si="37">SUM(AP23:AP28)</f>
        <v>7864115156.640131</v>
      </c>
      <c r="AQ22" s="1127">
        <f t="shared" si="37"/>
        <v>22154191267.419998</v>
      </c>
      <c r="AR22" s="1125">
        <f t="shared" si="37"/>
        <v>0</v>
      </c>
      <c r="AS22" s="1125">
        <f t="shared" si="37"/>
        <v>0</v>
      </c>
      <c r="AT22" s="1128">
        <f t="shared" si="15"/>
        <v>0.45505315704597699</v>
      </c>
      <c r="AU22" s="1128">
        <f t="shared" si="15"/>
        <v>0.76295058971716312</v>
      </c>
      <c r="AV22" s="1128">
        <f t="shared" si="4"/>
        <v>0</v>
      </c>
      <c r="AW22" s="1128">
        <f t="shared" si="4"/>
        <v>0</v>
      </c>
      <c r="AX22" s="1125">
        <f t="shared" ref="AX22:BE22" si="38">SUM(AX23:AX28)</f>
        <v>6190793071.8263626</v>
      </c>
      <c r="AY22" s="1125">
        <f t="shared" si="38"/>
        <v>4593351563.6099997</v>
      </c>
      <c r="AZ22" s="1125">
        <f t="shared" si="38"/>
        <v>0</v>
      </c>
      <c r="BA22" s="1125">
        <f t="shared" si="38"/>
        <v>0</v>
      </c>
      <c r="BB22" s="1125">
        <f t="shared" si="38"/>
        <v>0</v>
      </c>
      <c r="BC22" s="1125">
        <f t="shared" si="38"/>
        <v>0</v>
      </c>
      <c r="BD22" s="1125">
        <f t="shared" si="38"/>
        <v>0</v>
      </c>
      <c r="BE22" s="1125">
        <f t="shared" si="38"/>
        <v>0</v>
      </c>
      <c r="BF22" s="1121">
        <f t="shared" si="17"/>
        <v>0</v>
      </c>
      <c r="BG22" s="1121">
        <f t="shared" si="6"/>
        <v>0</v>
      </c>
      <c r="BH22" s="1121" t="e">
        <f t="shared" si="6"/>
        <v>#DIV/0!</v>
      </c>
      <c r="BI22" s="1121" t="e">
        <f t="shared" si="6"/>
        <v>#DIV/0!</v>
      </c>
      <c r="BJ22" s="1125">
        <f t="shared" si="7"/>
        <v>102303090507.80933</v>
      </c>
      <c r="BK22" s="1127">
        <f t="shared" si="8"/>
        <v>40802451059.49649</v>
      </c>
      <c r="BL22" s="1121">
        <f t="shared" si="9"/>
        <v>0.39883888997841982</v>
      </c>
      <c r="BM22" s="1127">
        <f t="shared" si="10"/>
        <v>30018306424.060127</v>
      </c>
      <c r="BN22" s="1128">
        <f t="shared" si="11"/>
        <v>0.29342521594466076</v>
      </c>
      <c r="BO22" s="1118"/>
      <c r="BP22" s="1129"/>
      <c r="BQ22" s="1130"/>
      <c r="BR22" s="1131"/>
    </row>
    <row r="23" spans="1:70" ht="82.2" thickBot="1">
      <c r="A23" s="1023" t="s">
        <v>2223</v>
      </c>
      <c r="B23" s="1024" t="s">
        <v>2224</v>
      </c>
      <c r="C23" s="1025" t="s">
        <v>2181</v>
      </c>
      <c r="D23" s="1161">
        <v>1</v>
      </c>
      <c r="E23" s="1162">
        <v>1</v>
      </c>
      <c r="F23" s="1162">
        <v>1</v>
      </c>
      <c r="G23" s="1163">
        <v>1</v>
      </c>
      <c r="H23" s="1029">
        <v>1</v>
      </c>
      <c r="I23" s="1030">
        <v>1</v>
      </c>
      <c r="J23" s="1030"/>
      <c r="K23" s="1030"/>
      <c r="L23" s="1030"/>
      <c r="M23" s="1031"/>
      <c r="N23" s="1031"/>
      <c r="O23" s="1031"/>
      <c r="P23" s="1032">
        <f t="shared" ref="P23:S28" si="39">IF((H23+L23)/D23&gt;=100%,100%,(H23+L23)/D23)</f>
        <v>1</v>
      </c>
      <c r="Q23" s="1032">
        <f t="shared" si="39"/>
        <v>1</v>
      </c>
      <c r="R23" s="1032">
        <f t="shared" si="39"/>
        <v>0</v>
      </c>
      <c r="S23" s="1032">
        <f t="shared" si="39"/>
        <v>0</v>
      </c>
      <c r="T23" s="1164" t="s">
        <v>2225</v>
      </c>
      <c r="U23" s="1034">
        <v>46022</v>
      </c>
      <c r="V23" s="1035">
        <f t="shared" ref="V23:V28" si="40">SUM(D23:G23)</f>
        <v>4</v>
      </c>
      <c r="W23" s="1035">
        <f t="shared" ref="W23:W28" si="41">SUM(H23:N23)</f>
        <v>2</v>
      </c>
      <c r="X23" s="1036">
        <f>IF(W23/V23&gt;=100%,100%,W23/V23)</f>
        <v>0.5</v>
      </c>
      <c r="Y23" s="1037">
        <v>0.05</v>
      </c>
      <c r="Z23" s="1037">
        <v>0.05</v>
      </c>
      <c r="AA23" s="1037">
        <v>0.05</v>
      </c>
      <c r="AB23" s="1037">
        <v>0.05</v>
      </c>
      <c r="AC23" s="1037">
        <v>0.05</v>
      </c>
      <c r="AD23" s="1165">
        <f>365044973.41+(2820333631.63084/5)</f>
        <v>929111699.73616791</v>
      </c>
      <c r="AE23" s="1165">
        <v>950000000</v>
      </c>
      <c r="AF23" s="1165">
        <v>1205000000</v>
      </c>
      <c r="AG23" s="1165">
        <v>1400000000</v>
      </c>
      <c r="AH23" s="1038">
        <f>358652176+(1810417897.56282/5)</f>
        <v>720735755.51256394</v>
      </c>
      <c r="AI23" s="1038">
        <v>949596272</v>
      </c>
      <c r="AJ23" s="1038"/>
      <c r="AK23" s="1038"/>
      <c r="AL23" s="1039">
        <f t="shared" si="14"/>
        <v>0.7757256266574033</v>
      </c>
      <c r="AM23" s="1039">
        <f t="shared" si="14"/>
        <v>0.9995750231578947</v>
      </c>
      <c r="AN23" s="1039">
        <f t="shared" si="14"/>
        <v>0</v>
      </c>
      <c r="AO23" s="1039">
        <f t="shared" si="14"/>
        <v>0</v>
      </c>
      <c r="AP23" s="1040">
        <f>358652175+(1665094601.75574/5)</f>
        <v>691671095.35114801</v>
      </c>
      <c r="AQ23" s="1139">
        <v>939782677.71000004</v>
      </c>
      <c r="AR23" s="1040"/>
      <c r="AS23" s="1040"/>
      <c r="AT23" s="1048">
        <f t="shared" si="15"/>
        <v>0.74444342434559385</v>
      </c>
      <c r="AU23" s="1048">
        <f t="shared" si="15"/>
        <v>0.9892449239052632</v>
      </c>
      <c r="AV23" s="1048">
        <f t="shared" si="15"/>
        <v>0</v>
      </c>
      <c r="AW23" s="1048">
        <f t="shared" si="15"/>
        <v>0</v>
      </c>
      <c r="AX23" s="1044">
        <f t="shared" si="23"/>
        <v>29064660.161415935</v>
      </c>
      <c r="AY23" s="1044">
        <f t="shared" si="23"/>
        <v>9813594.2899999619</v>
      </c>
      <c r="AZ23" s="1044">
        <f t="shared" si="23"/>
        <v>0</v>
      </c>
      <c r="BA23" s="1044">
        <f t="shared" si="23"/>
        <v>0</v>
      </c>
      <c r="BB23" s="1040"/>
      <c r="BC23" s="1040"/>
      <c r="BD23" s="1040"/>
      <c r="BE23" s="1040"/>
      <c r="BF23" s="1045">
        <f t="shared" si="17"/>
        <v>0</v>
      </c>
      <c r="BG23" s="1045">
        <f t="shared" si="17"/>
        <v>0</v>
      </c>
      <c r="BH23" s="1045" t="e">
        <f t="shared" si="17"/>
        <v>#DIV/0!</v>
      </c>
      <c r="BI23" s="1045" t="e">
        <f t="shared" si="17"/>
        <v>#DIV/0!</v>
      </c>
      <c r="BJ23" s="1040">
        <f t="shared" si="7"/>
        <v>4484111699.7361679</v>
      </c>
      <c r="BK23" s="1046">
        <f t="shared" si="8"/>
        <v>1670332027.5125639</v>
      </c>
      <c r="BL23" s="1047">
        <f t="shared" si="9"/>
        <v>0.37250009352149754</v>
      </c>
      <c r="BM23" s="1046">
        <f t="shared" si="10"/>
        <v>1631453773.0611482</v>
      </c>
      <c r="BN23" s="1048">
        <f t="shared" si="11"/>
        <v>0.36382986917055127</v>
      </c>
      <c r="BO23" s="1049" t="s">
        <v>2226</v>
      </c>
      <c r="BP23" s="1050" t="s">
        <v>2183</v>
      </c>
      <c r="BQ23" s="1145" t="s">
        <v>2193</v>
      </c>
      <c r="BR23" s="1146" t="s">
        <v>596</v>
      </c>
    </row>
    <row r="24" spans="1:70" ht="163.80000000000001" thickBot="1">
      <c r="A24" s="1053" t="s">
        <v>2227</v>
      </c>
      <c r="B24" s="1079" t="s">
        <v>2228</v>
      </c>
      <c r="C24" s="1055" t="s">
        <v>2181</v>
      </c>
      <c r="D24" s="1147">
        <v>1</v>
      </c>
      <c r="E24" s="1148">
        <v>1</v>
      </c>
      <c r="F24" s="1148">
        <v>1</v>
      </c>
      <c r="G24" s="1149">
        <v>1</v>
      </c>
      <c r="H24" s="1166">
        <v>1</v>
      </c>
      <c r="I24" s="1030">
        <v>1</v>
      </c>
      <c r="J24" s="1167"/>
      <c r="K24" s="1167"/>
      <c r="L24" s="1060"/>
      <c r="M24" s="1061"/>
      <c r="N24" s="1061"/>
      <c r="O24" s="1061"/>
      <c r="P24" s="1062">
        <f t="shared" si="39"/>
        <v>1</v>
      </c>
      <c r="Q24" s="1064">
        <f t="shared" si="39"/>
        <v>1</v>
      </c>
      <c r="R24" s="1062">
        <f t="shared" si="39"/>
        <v>0</v>
      </c>
      <c r="S24" s="1062">
        <f t="shared" si="39"/>
        <v>0</v>
      </c>
      <c r="T24" s="1063" t="s">
        <v>2229</v>
      </c>
      <c r="U24" s="1034">
        <v>46022</v>
      </c>
      <c r="V24" s="1035">
        <f t="shared" si="40"/>
        <v>4</v>
      </c>
      <c r="W24" s="1035">
        <f t="shared" si="41"/>
        <v>2</v>
      </c>
      <c r="X24" s="1064">
        <f t="shared" ref="X24:X28" si="42">IF(W24/V24&gt;=100%,100%,W24/V24)</f>
        <v>0.5</v>
      </c>
      <c r="Y24" s="1065">
        <v>0.2</v>
      </c>
      <c r="Z24" s="1065">
        <v>0.2</v>
      </c>
      <c r="AA24" s="1065">
        <v>0.2</v>
      </c>
      <c r="AB24" s="1065">
        <v>0.2</v>
      </c>
      <c r="AC24" s="1065">
        <v>0.2</v>
      </c>
      <c r="AD24" s="1168">
        <f>3280000000+(2820333631.63084/5)</f>
        <v>3844066726.3261681</v>
      </c>
      <c r="AE24" s="1169">
        <v>6818009921.8800001</v>
      </c>
      <c r="AF24" s="1168">
        <v>5010000000</v>
      </c>
      <c r="AG24" s="1168">
        <v>6200000000</v>
      </c>
      <c r="AH24" s="1169">
        <f>3069267617+(1810417897.56282/5)</f>
        <v>3431351196.5125642</v>
      </c>
      <c r="AI24" s="1169">
        <v>6818006589.8800001</v>
      </c>
      <c r="AJ24" s="1169"/>
      <c r="AK24" s="1169"/>
      <c r="AL24" s="1074">
        <f t="shared" si="14"/>
        <v>0.89263570088752275</v>
      </c>
      <c r="AM24" s="1074">
        <f t="shared" si="14"/>
        <v>0.99999951129434572</v>
      </c>
      <c r="AN24" s="1074">
        <f t="shared" si="14"/>
        <v>0</v>
      </c>
      <c r="AO24" s="1074">
        <f t="shared" si="14"/>
        <v>0</v>
      </c>
      <c r="AP24" s="1067">
        <f>761159656+(1665094601.75574/5)</f>
        <v>1094178576.3511481</v>
      </c>
      <c r="AQ24" s="1068">
        <v>6068801481.6099997</v>
      </c>
      <c r="AR24" s="1069"/>
      <c r="AS24" s="1069"/>
      <c r="AT24" s="1140">
        <f t="shared" si="15"/>
        <v>0.28464089055937669</v>
      </c>
      <c r="AU24" s="1140">
        <f t="shared" si="15"/>
        <v>0.89011332502381968</v>
      </c>
      <c r="AV24" s="1140">
        <f t="shared" si="15"/>
        <v>0</v>
      </c>
      <c r="AW24" s="1140">
        <f t="shared" si="15"/>
        <v>0</v>
      </c>
      <c r="AX24" s="1044">
        <f t="shared" si="23"/>
        <v>2337172620.1614161</v>
      </c>
      <c r="AY24" s="1044">
        <f t="shared" si="23"/>
        <v>749205108.27000046</v>
      </c>
      <c r="AZ24" s="1044">
        <f t="shared" si="23"/>
        <v>0</v>
      </c>
      <c r="BA24" s="1044">
        <f t="shared" si="23"/>
        <v>0</v>
      </c>
      <c r="BB24" s="1067"/>
      <c r="BC24" s="1067"/>
      <c r="BD24" s="1067"/>
      <c r="BE24" s="1067"/>
      <c r="BF24" s="1071">
        <f t="shared" si="17"/>
        <v>0</v>
      </c>
      <c r="BG24" s="1071">
        <f t="shared" si="17"/>
        <v>0</v>
      </c>
      <c r="BH24" s="1071" t="e">
        <f t="shared" si="17"/>
        <v>#DIV/0!</v>
      </c>
      <c r="BI24" s="1071" t="e">
        <f t="shared" si="17"/>
        <v>#DIV/0!</v>
      </c>
      <c r="BJ24" s="1067">
        <f t="shared" si="7"/>
        <v>21872076648.206169</v>
      </c>
      <c r="BK24" s="1072">
        <f t="shared" si="8"/>
        <v>10249357786.392565</v>
      </c>
      <c r="BL24" s="1073">
        <f t="shared" si="9"/>
        <v>0.46860469406928318</v>
      </c>
      <c r="BM24" s="1072">
        <f t="shared" si="10"/>
        <v>7162980057.9611473</v>
      </c>
      <c r="BN24" s="1074">
        <f t="shared" si="11"/>
        <v>0.32749428292391325</v>
      </c>
      <c r="BO24" s="1049" t="s">
        <v>2226</v>
      </c>
      <c r="BP24" s="1076" t="s">
        <v>2183</v>
      </c>
      <c r="BQ24" s="1082" t="s">
        <v>2193</v>
      </c>
      <c r="BR24" s="1083" t="s">
        <v>596</v>
      </c>
    </row>
    <row r="25" spans="1:70" ht="153.6" thickBot="1">
      <c r="A25" s="1053" t="s">
        <v>2230</v>
      </c>
      <c r="B25" s="1079" t="s">
        <v>2231</v>
      </c>
      <c r="C25" s="1055" t="s">
        <v>2181</v>
      </c>
      <c r="D25" s="1147">
        <v>1</v>
      </c>
      <c r="E25" s="1148">
        <v>1</v>
      </c>
      <c r="F25" s="1148">
        <v>1</v>
      </c>
      <c r="G25" s="1149">
        <v>1</v>
      </c>
      <c r="H25" s="1055">
        <v>1</v>
      </c>
      <c r="I25" s="1060">
        <v>1</v>
      </c>
      <c r="J25" s="1060"/>
      <c r="K25" s="1060"/>
      <c r="L25" s="1060"/>
      <c r="M25" s="1061"/>
      <c r="N25" s="1061"/>
      <c r="O25" s="1061"/>
      <c r="P25" s="1062">
        <f t="shared" si="39"/>
        <v>1</v>
      </c>
      <c r="Q25" s="1064">
        <f t="shared" si="39"/>
        <v>1</v>
      </c>
      <c r="R25" s="1062">
        <f t="shared" si="39"/>
        <v>0</v>
      </c>
      <c r="S25" s="1062">
        <f t="shared" si="39"/>
        <v>0</v>
      </c>
      <c r="T25" s="1063" t="s">
        <v>2232</v>
      </c>
      <c r="U25" s="1034">
        <v>46022</v>
      </c>
      <c r="V25" s="1035">
        <f t="shared" si="40"/>
        <v>4</v>
      </c>
      <c r="W25" s="1035">
        <f t="shared" si="41"/>
        <v>2</v>
      </c>
      <c r="X25" s="1064">
        <f t="shared" si="42"/>
        <v>0.5</v>
      </c>
      <c r="Y25" s="1065">
        <v>0.2</v>
      </c>
      <c r="Z25" s="1065">
        <v>0.2</v>
      </c>
      <c r="AA25" s="1065">
        <v>0.2</v>
      </c>
      <c r="AB25" s="1065">
        <v>0.2</v>
      </c>
      <c r="AC25" s="1065">
        <v>0.2</v>
      </c>
      <c r="AD25" s="1168">
        <f>2620000000+(2820333631.63084/5)</f>
        <v>3184066726.3261681</v>
      </c>
      <c r="AE25" s="1169">
        <v>4180000000</v>
      </c>
      <c r="AF25" s="1168">
        <v>4750000000</v>
      </c>
      <c r="AG25" s="1168">
        <v>6200000000</v>
      </c>
      <c r="AH25" s="1169">
        <f>2440000000+(1810417897.56282/5)</f>
        <v>2802083579.5125642</v>
      </c>
      <c r="AI25" s="1169">
        <v>4179676000</v>
      </c>
      <c r="AJ25" s="1169"/>
      <c r="AK25" s="1169"/>
      <c r="AL25" s="1074">
        <f t="shared" si="14"/>
        <v>0.88003293283544259</v>
      </c>
      <c r="AM25" s="1074">
        <f t="shared" si="14"/>
        <v>0.99992248803827755</v>
      </c>
      <c r="AN25" s="1074">
        <f t="shared" si="14"/>
        <v>0</v>
      </c>
      <c r="AO25" s="1074">
        <f t="shared" si="14"/>
        <v>0</v>
      </c>
      <c r="AP25" s="1067">
        <f>339000000+(1665094601.75574/5)</f>
        <v>672018920.35114801</v>
      </c>
      <c r="AQ25" s="1068">
        <v>2974683380</v>
      </c>
      <c r="AR25" s="1069"/>
      <c r="AS25" s="1069"/>
      <c r="AT25" s="1140">
        <f t="shared" si="15"/>
        <v>0.21105679563648316</v>
      </c>
      <c r="AU25" s="1140">
        <f t="shared" si="15"/>
        <v>0.71164674162679431</v>
      </c>
      <c r="AV25" s="1140">
        <f t="shared" si="15"/>
        <v>0</v>
      </c>
      <c r="AW25" s="1140">
        <f t="shared" si="15"/>
        <v>0</v>
      </c>
      <c r="AX25" s="1044">
        <f t="shared" si="23"/>
        <v>2130064659.1614161</v>
      </c>
      <c r="AY25" s="1044">
        <f t="shared" si="23"/>
        <v>1204992620</v>
      </c>
      <c r="AZ25" s="1044">
        <f t="shared" si="23"/>
        <v>0</v>
      </c>
      <c r="BA25" s="1044">
        <f t="shared" si="23"/>
        <v>0</v>
      </c>
      <c r="BB25" s="1067"/>
      <c r="BC25" s="1067"/>
      <c r="BD25" s="1067"/>
      <c r="BE25" s="1067"/>
      <c r="BF25" s="1071">
        <f t="shared" si="17"/>
        <v>0</v>
      </c>
      <c r="BG25" s="1071">
        <f t="shared" si="17"/>
        <v>0</v>
      </c>
      <c r="BH25" s="1071" t="e">
        <f t="shared" si="17"/>
        <v>#DIV/0!</v>
      </c>
      <c r="BI25" s="1071" t="e">
        <f t="shared" si="17"/>
        <v>#DIV/0!</v>
      </c>
      <c r="BJ25" s="1067">
        <f t="shared" si="7"/>
        <v>18314066726.326168</v>
      </c>
      <c r="BK25" s="1072">
        <f t="shared" si="8"/>
        <v>6981759579.5125637</v>
      </c>
      <c r="BL25" s="1073">
        <f t="shared" si="9"/>
        <v>0.38122388019239878</v>
      </c>
      <c r="BM25" s="1072">
        <f t="shared" si="10"/>
        <v>3646702300.3511481</v>
      </c>
      <c r="BN25" s="1074">
        <f t="shared" si="11"/>
        <v>0.19912029124088937</v>
      </c>
      <c r="BO25" s="1049" t="s">
        <v>2226</v>
      </c>
      <c r="BP25" s="1081" t="s">
        <v>2183</v>
      </c>
      <c r="BQ25" s="1082" t="s">
        <v>2193</v>
      </c>
      <c r="BR25" s="1083" t="s">
        <v>596</v>
      </c>
    </row>
    <row r="26" spans="1:70" ht="194.4" thickBot="1">
      <c r="A26" s="1170" t="s">
        <v>2233</v>
      </c>
      <c r="B26" s="1171" t="s">
        <v>2234</v>
      </c>
      <c r="C26" s="1055" t="s">
        <v>2181</v>
      </c>
      <c r="D26" s="1147">
        <v>1</v>
      </c>
      <c r="E26" s="1148">
        <v>1</v>
      </c>
      <c r="F26" s="1148">
        <v>1</v>
      </c>
      <c r="G26" s="1149">
        <v>1</v>
      </c>
      <c r="H26" s="1166">
        <v>1</v>
      </c>
      <c r="I26" s="1060">
        <v>3</v>
      </c>
      <c r="J26" s="1167"/>
      <c r="K26" s="1167"/>
      <c r="L26" s="1060"/>
      <c r="M26" s="1061"/>
      <c r="N26" s="1061"/>
      <c r="O26" s="1061"/>
      <c r="P26" s="1062">
        <f t="shared" si="39"/>
        <v>1</v>
      </c>
      <c r="Q26" s="1064">
        <f t="shared" si="39"/>
        <v>1</v>
      </c>
      <c r="R26" s="1062">
        <f t="shared" si="39"/>
        <v>0</v>
      </c>
      <c r="S26" s="1062">
        <f t="shared" si="39"/>
        <v>0</v>
      </c>
      <c r="T26" s="1172" t="s">
        <v>2235</v>
      </c>
      <c r="U26" s="1034">
        <v>46022</v>
      </c>
      <c r="V26" s="1035">
        <f t="shared" si="40"/>
        <v>4</v>
      </c>
      <c r="W26" s="1035">
        <f t="shared" si="41"/>
        <v>4</v>
      </c>
      <c r="X26" s="1064">
        <f t="shared" si="42"/>
        <v>1</v>
      </c>
      <c r="Y26" s="1065">
        <v>0.4</v>
      </c>
      <c r="Z26" s="1065">
        <v>0.4</v>
      </c>
      <c r="AA26" s="1065">
        <v>0.4</v>
      </c>
      <c r="AB26" s="1065">
        <v>0.4</v>
      </c>
      <c r="AC26" s="1065">
        <v>0.4</v>
      </c>
      <c r="AD26" s="1168">
        <f>6077755297+308616669.015123</f>
        <v>6386371966.0151234</v>
      </c>
      <c r="AE26" s="1169">
        <v>14873156700.27</v>
      </c>
      <c r="AF26" s="1168">
        <v>11644590837.674816</v>
      </c>
      <c r="AG26" s="1168">
        <v>12744231380.358557</v>
      </c>
      <c r="AH26" s="1169">
        <f>4369698286+198106044.903673</f>
        <v>4567804330.9036732</v>
      </c>
      <c r="AI26" s="1169">
        <v>12584818798.969999</v>
      </c>
      <c r="AJ26" s="1169"/>
      <c r="AK26" s="1169"/>
      <c r="AL26" s="1173">
        <f t="shared" si="14"/>
        <v>0.71524244989347618</v>
      </c>
      <c r="AM26" s="1173">
        <f t="shared" si="14"/>
        <v>0.84614309205399152</v>
      </c>
      <c r="AN26" s="1173">
        <f t="shared" si="14"/>
        <v>0</v>
      </c>
      <c r="AO26" s="1173">
        <f t="shared" si="14"/>
        <v>0</v>
      </c>
      <c r="AP26" s="1067">
        <f>3624498284.23+182203957.654391</f>
        <v>3806702241.8843908</v>
      </c>
      <c r="AQ26" s="1068">
        <v>11295569248.07</v>
      </c>
      <c r="AR26" s="1069"/>
      <c r="AS26" s="1069"/>
      <c r="AT26" s="1140">
        <f t="shared" si="15"/>
        <v>0.5960664775151896</v>
      </c>
      <c r="AU26" s="1140">
        <f t="shared" si="15"/>
        <v>0.75946011164294025</v>
      </c>
      <c r="AV26" s="1140">
        <f t="shared" si="15"/>
        <v>0</v>
      </c>
      <c r="AW26" s="1140">
        <f t="shared" si="15"/>
        <v>0</v>
      </c>
      <c r="AX26" s="1044">
        <f t="shared" ref="AX26:BA28" si="43">+AH26-AP26</f>
        <v>761102089.01928234</v>
      </c>
      <c r="AY26" s="1044">
        <f t="shared" si="43"/>
        <v>1289249550.8999996</v>
      </c>
      <c r="AZ26" s="1044">
        <f t="shared" si="43"/>
        <v>0</v>
      </c>
      <c r="BA26" s="1044">
        <f t="shared" si="43"/>
        <v>0</v>
      </c>
      <c r="BB26" s="1067"/>
      <c r="BC26" s="1067"/>
      <c r="BD26" s="1067"/>
      <c r="BE26" s="1067"/>
      <c r="BF26" s="1071">
        <f t="shared" si="17"/>
        <v>0</v>
      </c>
      <c r="BG26" s="1071">
        <f t="shared" si="17"/>
        <v>0</v>
      </c>
      <c r="BH26" s="1071" t="e">
        <f t="shared" si="17"/>
        <v>#DIV/0!</v>
      </c>
      <c r="BI26" s="1071" t="e">
        <f t="shared" si="17"/>
        <v>#DIV/0!</v>
      </c>
      <c r="BJ26" s="1067">
        <f t="shared" si="7"/>
        <v>45648350884.318497</v>
      </c>
      <c r="BK26" s="1072">
        <f t="shared" si="8"/>
        <v>17152623129.873672</v>
      </c>
      <c r="BL26" s="1073">
        <f t="shared" si="9"/>
        <v>0.37575559242746021</v>
      </c>
      <c r="BM26" s="1072">
        <f t="shared" si="10"/>
        <v>15102271489.954391</v>
      </c>
      <c r="BN26" s="1074">
        <f t="shared" si="11"/>
        <v>0.3308393665354174</v>
      </c>
      <c r="BO26" s="1049" t="s">
        <v>2226</v>
      </c>
      <c r="BP26" s="1081" t="s">
        <v>2183</v>
      </c>
      <c r="BQ26" s="1082" t="s">
        <v>2193</v>
      </c>
      <c r="BR26" s="1083" t="s">
        <v>596</v>
      </c>
    </row>
    <row r="27" spans="1:70" ht="112.8" thickBot="1">
      <c r="A27" s="1174" t="s">
        <v>2236</v>
      </c>
      <c r="B27" s="1175" t="s">
        <v>2237</v>
      </c>
      <c r="C27" s="1055" t="s">
        <v>2181</v>
      </c>
      <c r="D27" s="1147">
        <v>1</v>
      </c>
      <c r="E27" s="1148">
        <v>1</v>
      </c>
      <c r="F27" s="1148">
        <v>1</v>
      </c>
      <c r="G27" s="1149">
        <v>1</v>
      </c>
      <c r="H27" s="1055">
        <v>1</v>
      </c>
      <c r="I27" s="1060">
        <v>1</v>
      </c>
      <c r="J27" s="1060"/>
      <c r="K27" s="1060"/>
      <c r="L27" s="1060"/>
      <c r="M27" s="1061"/>
      <c r="N27" s="1061"/>
      <c r="O27" s="1061"/>
      <c r="P27" s="1062">
        <f t="shared" si="39"/>
        <v>1</v>
      </c>
      <c r="Q27" s="1064">
        <f t="shared" si="39"/>
        <v>1</v>
      </c>
      <c r="R27" s="1062">
        <f t="shared" si="39"/>
        <v>0</v>
      </c>
      <c r="S27" s="1062">
        <f t="shared" si="39"/>
        <v>0</v>
      </c>
      <c r="T27" s="1176" t="s">
        <v>2238</v>
      </c>
      <c r="U27" s="1034">
        <v>46022</v>
      </c>
      <c r="V27" s="1035">
        <f t="shared" si="40"/>
        <v>4</v>
      </c>
      <c r="W27" s="1035">
        <f t="shared" si="41"/>
        <v>2</v>
      </c>
      <c r="X27" s="1064">
        <f t="shared" si="42"/>
        <v>0.5</v>
      </c>
      <c r="Y27" s="1065">
        <v>0.1</v>
      </c>
      <c r="Z27" s="1065">
        <v>0.1</v>
      </c>
      <c r="AA27" s="1065">
        <v>0.1</v>
      </c>
      <c r="AB27" s="1065">
        <v>0.1</v>
      </c>
      <c r="AC27" s="1065">
        <v>0.1</v>
      </c>
      <c r="AD27" s="1168">
        <f>1260000000+(2820333631.63084/5)</f>
        <v>1824066726.3261681</v>
      </c>
      <c r="AE27" s="1168">
        <v>1766351096.5699999</v>
      </c>
      <c r="AF27" s="1168">
        <v>2090000000</v>
      </c>
      <c r="AG27" s="1168">
        <v>2300000000</v>
      </c>
      <c r="AH27" s="1169">
        <f>1258766207+(1810417897.56282/5)</f>
        <v>1620849786.5125639</v>
      </c>
      <c r="AI27" s="1169">
        <v>1765445170.1800001</v>
      </c>
      <c r="AJ27" s="1169"/>
      <c r="AK27" s="1169"/>
      <c r="AL27" s="1074">
        <f t="shared" si="14"/>
        <v>0.88859127964967544</v>
      </c>
      <c r="AM27" s="1074">
        <f t="shared" si="14"/>
        <v>0.99948711986435823</v>
      </c>
      <c r="AN27" s="1074">
        <f t="shared" si="14"/>
        <v>0</v>
      </c>
      <c r="AO27" s="1074">
        <f t="shared" si="14"/>
        <v>0</v>
      </c>
      <c r="AP27" s="1067">
        <f>383506482+(1665094601.75574/5)</f>
        <v>716525402.35114801</v>
      </c>
      <c r="AQ27" s="1068">
        <v>431176655.63999999</v>
      </c>
      <c r="AR27" s="1069"/>
      <c r="AS27" s="1069"/>
      <c r="AT27" s="1140">
        <f t="shared" si="15"/>
        <v>0.39281753896925342</v>
      </c>
      <c r="AU27" s="1140">
        <f t="shared" si="15"/>
        <v>0.24410586121710634</v>
      </c>
      <c r="AV27" s="1140">
        <f t="shared" si="15"/>
        <v>0</v>
      </c>
      <c r="AW27" s="1140">
        <f t="shared" si="15"/>
        <v>0</v>
      </c>
      <c r="AX27" s="1044">
        <f t="shared" si="43"/>
        <v>904324384.16141593</v>
      </c>
      <c r="AY27" s="1044">
        <f t="shared" si="43"/>
        <v>1334268514.54</v>
      </c>
      <c r="AZ27" s="1044">
        <f t="shared" si="43"/>
        <v>0</v>
      </c>
      <c r="BA27" s="1044">
        <f t="shared" si="43"/>
        <v>0</v>
      </c>
      <c r="BB27" s="1067"/>
      <c r="BC27" s="1067"/>
      <c r="BD27" s="1067"/>
      <c r="BE27" s="1067"/>
      <c r="BF27" s="1071">
        <f t="shared" si="17"/>
        <v>0</v>
      </c>
      <c r="BG27" s="1071">
        <f t="shared" si="17"/>
        <v>0</v>
      </c>
      <c r="BH27" s="1071" t="e">
        <f t="shared" si="17"/>
        <v>#DIV/0!</v>
      </c>
      <c r="BI27" s="1071" t="e">
        <f t="shared" si="17"/>
        <v>#DIV/0!</v>
      </c>
      <c r="BJ27" s="1067">
        <f t="shared" si="7"/>
        <v>7980417822.8961678</v>
      </c>
      <c r="BK27" s="1072">
        <f t="shared" si="8"/>
        <v>3386294956.692564</v>
      </c>
      <c r="BL27" s="1073">
        <f t="shared" si="9"/>
        <v>0.42432552177620769</v>
      </c>
      <c r="BM27" s="1072">
        <f t="shared" si="10"/>
        <v>1147702057.991148</v>
      </c>
      <c r="BN27" s="1074">
        <f t="shared" si="11"/>
        <v>0.14381478306791665</v>
      </c>
      <c r="BO27" s="1049" t="s">
        <v>2226</v>
      </c>
      <c r="BP27" s="1081" t="s">
        <v>2183</v>
      </c>
      <c r="BQ27" s="1082" t="s">
        <v>2193</v>
      </c>
      <c r="BR27" s="1083" t="s">
        <v>596</v>
      </c>
    </row>
    <row r="28" spans="1:70" ht="286.2" thickBot="1">
      <c r="A28" s="1177" t="s">
        <v>2239</v>
      </c>
      <c r="B28" s="1178" t="s">
        <v>2240</v>
      </c>
      <c r="C28" s="1152" t="s">
        <v>2181</v>
      </c>
      <c r="D28" s="1179">
        <v>1</v>
      </c>
      <c r="E28" s="1180">
        <v>1</v>
      </c>
      <c r="F28" s="1180">
        <v>1</v>
      </c>
      <c r="G28" s="1181">
        <v>1</v>
      </c>
      <c r="H28" s="1152">
        <v>1</v>
      </c>
      <c r="I28" s="1182">
        <v>2</v>
      </c>
      <c r="J28" s="1182"/>
      <c r="K28" s="1182"/>
      <c r="L28" s="1182"/>
      <c r="M28" s="1101"/>
      <c r="N28" s="1101"/>
      <c r="O28" s="1101"/>
      <c r="P28" s="1102">
        <f t="shared" si="39"/>
        <v>1</v>
      </c>
      <c r="Q28" s="1157">
        <f t="shared" si="39"/>
        <v>1</v>
      </c>
      <c r="R28" s="1102">
        <f t="shared" si="39"/>
        <v>0</v>
      </c>
      <c r="S28" s="1102">
        <f t="shared" si="39"/>
        <v>0</v>
      </c>
      <c r="T28" s="1183" t="s">
        <v>2241</v>
      </c>
      <c r="U28" s="1034">
        <v>46022</v>
      </c>
      <c r="V28" s="1035">
        <f t="shared" si="40"/>
        <v>4</v>
      </c>
      <c r="W28" s="1035">
        <f t="shared" si="41"/>
        <v>3</v>
      </c>
      <c r="X28" s="1157">
        <f t="shared" si="42"/>
        <v>0.75</v>
      </c>
      <c r="Y28" s="1104">
        <v>0.05</v>
      </c>
      <c r="Z28" s="1104">
        <v>0.05</v>
      </c>
      <c r="AA28" s="1104">
        <v>0.05</v>
      </c>
      <c r="AB28" s="1104">
        <v>0.05</v>
      </c>
      <c r="AC28" s="1104">
        <v>0.05</v>
      </c>
      <c r="AD28" s="1184">
        <f>550000000+(2820333631.63084/5)</f>
        <v>1114066726.3261681</v>
      </c>
      <c r="AE28" s="1184">
        <v>450000000</v>
      </c>
      <c r="AF28" s="1184">
        <v>1140000000</v>
      </c>
      <c r="AG28" s="1184">
        <v>1300000000</v>
      </c>
      <c r="AH28" s="1185">
        <f>550000000+(1810417897.56282/5)</f>
        <v>912083579.51256394</v>
      </c>
      <c r="AI28" s="1185">
        <v>450000000</v>
      </c>
      <c r="AJ28" s="1185"/>
      <c r="AK28" s="1185"/>
      <c r="AL28" s="1112">
        <f t="shared" si="14"/>
        <v>0.81869744240573517</v>
      </c>
      <c r="AM28" s="1112">
        <f t="shared" si="14"/>
        <v>1</v>
      </c>
      <c r="AN28" s="1112">
        <f t="shared" si="14"/>
        <v>0</v>
      </c>
      <c r="AO28" s="1112">
        <f t="shared" si="14"/>
        <v>0</v>
      </c>
      <c r="AP28" s="1186">
        <f>550000000+(1665094601.75574/5)</f>
        <v>883018920.35114801</v>
      </c>
      <c r="AQ28" s="1187">
        <v>444177824.38999999</v>
      </c>
      <c r="AR28" s="1188"/>
      <c r="AS28" s="1188"/>
      <c r="AT28" s="1189">
        <f t="shared" si="15"/>
        <v>0.79260864675768472</v>
      </c>
      <c r="AU28" s="1189">
        <f t="shared" si="15"/>
        <v>0.98706183197777775</v>
      </c>
      <c r="AV28" s="1189">
        <f t="shared" si="15"/>
        <v>0</v>
      </c>
      <c r="AW28" s="1189">
        <f t="shared" si="15"/>
        <v>0</v>
      </c>
      <c r="AX28" s="1044">
        <f t="shared" si="43"/>
        <v>29064659.161415935</v>
      </c>
      <c r="AY28" s="1044">
        <f t="shared" si="43"/>
        <v>5822175.6100000143</v>
      </c>
      <c r="AZ28" s="1044">
        <f t="shared" si="43"/>
        <v>0</v>
      </c>
      <c r="BA28" s="1044">
        <f t="shared" si="43"/>
        <v>0</v>
      </c>
      <c r="BB28" s="1186"/>
      <c r="BC28" s="1186"/>
      <c r="BD28" s="1186"/>
      <c r="BE28" s="1186"/>
      <c r="BF28" s="1190">
        <f t="shared" si="17"/>
        <v>0</v>
      </c>
      <c r="BG28" s="1190">
        <f t="shared" si="17"/>
        <v>0</v>
      </c>
      <c r="BH28" s="1190" t="e">
        <f t="shared" si="17"/>
        <v>#DIV/0!</v>
      </c>
      <c r="BI28" s="1190" t="e">
        <f t="shared" si="17"/>
        <v>#DIV/0!</v>
      </c>
      <c r="BJ28" s="1186">
        <f t="shared" si="7"/>
        <v>4004066726.3261681</v>
      </c>
      <c r="BK28" s="1110">
        <f t="shared" si="8"/>
        <v>1362083579.5125639</v>
      </c>
      <c r="BL28" s="1111">
        <f t="shared" si="9"/>
        <v>0.34017504517521113</v>
      </c>
      <c r="BM28" s="1110">
        <f t="shared" si="10"/>
        <v>1327196744.741148</v>
      </c>
      <c r="BN28" s="1112">
        <f t="shared" si="11"/>
        <v>0.3314621946769814</v>
      </c>
      <c r="BO28" s="1049" t="s">
        <v>2226</v>
      </c>
      <c r="BP28" s="1114" t="s">
        <v>2183</v>
      </c>
      <c r="BQ28" s="1115" t="s">
        <v>2193</v>
      </c>
      <c r="BR28" s="1191" t="s">
        <v>596</v>
      </c>
    </row>
    <row r="29" spans="1:70" ht="42.75" customHeight="1">
      <c r="A29" s="1192" t="s">
        <v>2242</v>
      </c>
      <c r="B29" s="1192"/>
      <c r="C29" s="1193"/>
      <c r="D29" s="1193"/>
      <c r="E29" s="1194"/>
      <c r="F29" s="1194"/>
      <c r="G29" s="1195"/>
      <c r="H29" s="1194"/>
      <c r="I29" s="1194"/>
      <c r="J29" s="1195"/>
      <c r="K29" s="1194"/>
      <c r="L29" s="1194"/>
      <c r="M29" s="1195"/>
      <c r="N29" s="1195"/>
      <c r="O29" s="1195"/>
      <c r="P29" s="1196">
        <f>+(P30*Z30)+(P32*Z32)+(P38*Z38)</f>
        <v>0.98599999999999999</v>
      </c>
      <c r="Q29" s="1197">
        <f>+(Q30*AA30)+(Q32*AA32)+(Q38*AA38)</f>
        <v>1</v>
      </c>
      <c r="R29" s="1196" t="e">
        <f>+(R30*AB30)+(R32*AB32)+(R38*AB38)</f>
        <v>#DIV/0!</v>
      </c>
      <c r="S29" s="1196" t="e">
        <f>+(S30*AG30)+(S32*AC32)+(S38*AC38)</f>
        <v>#VALUE!</v>
      </c>
      <c r="T29" s="1198"/>
      <c r="U29" s="1199"/>
      <c r="V29" s="1200"/>
      <c r="W29" s="1200"/>
      <c r="X29" s="1201">
        <f>+(X30*Y30)+(X32*Y32)+(X38*Y38)</f>
        <v>0.58087500000000003</v>
      </c>
      <c r="Y29" s="1202">
        <v>0.2</v>
      </c>
      <c r="Z29" s="1202">
        <v>0.2</v>
      </c>
      <c r="AA29" s="1202">
        <v>0.2</v>
      </c>
      <c r="AB29" s="1202">
        <v>0.2</v>
      </c>
      <c r="AC29" s="1202">
        <v>0.2</v>
      </c>
      <c r="AD29" s="1203">
        <f t="shared" ref="AD29:AK29" si="44">+AD30+AD32+AD38</f>
        <v>12330098707.548071</v>
      </c>
      <c r="AE29" s="1203">
        <f t="shared" si="44"/>
        <v>9692798052</v>
      </c>
      <c r="AF29" s="1203">
        <f t="shared" si="44"/>
        <v>3933000000</v>
      </c>
      <c r="AG29" s="1203">
        <f t="shared" si="44"/>
        <v>6290000000</v>
      </c>
      <c r="AH29" s="1204">
        <f t="shared" si="44"/>
        <v>8875484653.1196098</v>
      </c>
      <c r="AI29" s="1204">
        <f t="shared" si="44"/>
        <v>9670454539</v>
      </c>
      <c r="AJ29" s="1204">
        <f t="shared" si="44"/>
        <v>0</v>
      </c>
      <c r="AK29" s="1204">
        <f t="shared" si="44"/>
        <v>0</v>
      </c>
      <c r="AL29" s="1197">
        <f t="shared" si="14"/>
        <v>0.71982267649539067</v>
      </c>
      <c r="AM29" s="1197">
        <f t="shared" si="14"/>
        <v>0.99769483353721689</v>
      </c>
      <c r="AN29" s="1197">
        <f t="shared" si="14"/>
        <v>0</v>
      </c>
      <c r="AO29" s="1197">
        <f t="shared" si="14"/>
        <v>0</v>
      </c>
      <c r="AP29" s="1204">
        <f>+AP30+AP32+AP38</f>
        <v>7974685701.0662775</v>
      </c>
      <c r="AQ29" s="1203">
        <f>+AQ30+AQ32+AQ38</f>
        <v>3306371755.5099998</v>
      </c>
      <c r="AR29" s="1204">
        <f>+AR30+AR32+AR38</f>
        <v>0</v>
      </c>
      <c r="AS29" s="1204">
        <f>+AS30+AS32+AS38</f>
        <v>0</v>
      </c>
      <c r="AT29" s="1197">
        <f t="shared" si="15"/>
        <v>0.64676576321197199</v>
      </c>
      <c r="AU29" s="1197">
        <f t="shared" si="15"/>
        <v>0.34111633583738671</v>
      </c>
      <c r="AV29" s="1197">
        <f t="shared" si="15"/>
        <v>0</v>
      </c>
      <c r="AW29" s="1197">
        <f t="shared" si="15"/>
        <v>0</v>
      </c>
      <c r="AX29" s="1204">
        <f t="shared" ref="AX29:BE29" si="45">+AX30+AX32+AX38</f>
        <v>900798952.05333328</v>
      </c>
      <c r="AY29" s="1204">
        <f t="shared" si="45"/>
        <v>6364082783.4899998</v>
      </c>
      <c r="AZ29" s="1204">
        <f t="shared" si="45"/>
        <v>0</v>
      </c>
      <c r="BA29" s="1204">
        <f t="shared" si="45"/>
        <v>0</v>
      </c>
      <c r="BB29" s="1204">
        <f t="shared" si="45"/>
        <v>0</v>
      </c>
      <c r="BC29" s="1204">
        <f t="shared" si="45"/>
        <v>0</v>
      </c>
      <c r="BD29" s="1204">
        <f t="shared" si="45"/>
        <v>0</v>
      </c>
      <c r="BE29" s="1204">
        <f t="shared" si="45"/>
        <v>0</v>
      </c>
      <c r="BF29" s="1205">
        <f t="shared" si="17"/>
        <v>0</v>
      </c>
      <c r="BG29" s="1205">
        <f t="shared" si="17"/>
        <v>0</v>
      </c>
      <c r="BH29" s="1205" t="e">
        <f t="shared" si="17"/>
        <v>#DIV/0!</v>
      </c>
      <c r="BI29" s="1205" t="e">
        <f t="shared" si="17"/>
        <v>#DIV/0!</v>
      </c>
      <c r="BJ29" s="1204">
        <f t="shared" si="7"/>
        <v>32245896759.548073</v>
      </c>
      <c r="BK29" s="1203">
        <f t="shared" si="8"/>
        <v>18545939192.11961</v>
      </c>
      <c r="BL29" s="1206">
        <f t="shared" si="9"/>
        <v>0.57514105842406515</v>
      </c>
      <c r="BM29" s="1203">
        <f t="shared" si="10"/>
        <v>11281057456.576277</v>
      </c>
      <c r="BN29" s="1207">
        <f t="shared" si="11"/>
        <v>0.34984474274966265</v>
      </c>
      <c r="BO29" s="1204"/>
      <c r="BP29" s="1208"/>
      <c r="BQ29" s="1209"/>
      <c r="BR29" s="1210"/>
    </row>
    <row r="30" spans="1:70" ht="66.75" customHeight="1" thickBot="1">
      <c r="A30" s="1211" t="s">
        <v>2243</v>
      </c>
      <c r="B30" s="1212"/>
      <c r="C30" s="1213"/>
      <c r="D30" s="1213"/>
      <c r="E30" s="1214"/>
      <c r="F30" s="1214"/>
      <c r="G30" s="1214"/>
      <c r="H30" s="1214"/>
      <c r="I30" s="1215"/>
      <c r="J30" s="1215"/>
      <c r="K30" s="1215"/>
      <c r="L30" s="1215"/>
      <c r="M30" s="1215"/>
      <c r="N30" s="1215"/>
      <c r="O30" s="1215"/>
      <c r="P30" s="1216">
        <f>+SUMPRODUCT(P31:P31,Z31:Z31)</f>
        <v>0.72</v>
      </c>
      <c r="Q30" s="1217">
        <f>+SUMPRODUCT(Q31:Q31,AA31:AA31)</f>
        <v>1</v>
      </c>
      <c r="R30" s="1215">
        <f>+SUMPRODUCT(R31:R31,AB31:AB31)</f>
        <v>0</v>
      </c>
      <c r="S30" s="1215" t="e">
        <f>+SUMPRODUCT(S31:S31,A31:AC31)</f>
        <v>#VALUE!</v>
      </c>
      <c r="T30" s="1218"/>
      <c r="U30" s="1219"/>
      <c r="V30" s="1220"/>
      <c r="W30" s="1220"/>
      <c r="X30" s="1216">
        <f>+SUMPRODUCT(X31:X31,Y31:Y31)</f>
        <v>0.43</v>
      </c>
      <c r="Y30" s="1217">
        <v>0.05</v>
      </c>
      <c r="Z30" s="1217">
        <v>0.05</v>
      </c>
      <c r="AA30" s="1217">
        <v>0.05</v>
      </c>
      <c r="AB30" s="1217">
        <v>0.05</v>
      </c>
      <c r="AC30" s="1217">
        <v>0.05</v>
      </c>
      <c r="AD30" s="1213">
        <f>SUM(AD31)</f>
        <v>937043338.55518496</v>
      </c>
      <c r="AE30" s="1213">
        <f>SUM(AE31)</f>
        <v>265500000</v>
      </c>
      <c r="AF30" s="1213">
        <f t="shared" ref="AF30:AK30" si="46">SUM(AF31)</f>
        <v>313500000</v>
      </c>
      <c r="AG30" s="1213">
        <f t="shared" si="46"/>
        <v>350000000</v>
      </c>
      <c r="AH30" s="1213">
        <f t="shared" si="46"/>
        <v>668281896.19095492</v>
      </c>
      <c r="AI30" s="1213">
        <f t="shared" si="46"/>
        <v>261233950</v>
      </c>
      <c r="AJ30" s="1213">
        <f t="shared" si="46"/>
        <v>0</v>
      </c>
      <c r="AK30" s="1213">
        <f t="shared" si="46"/>
        <v>0</v>
      </c>
      <c r="AL30" s="1221">
        <f t="shared" si="14"/>
        <v>0.7131814172238502</v>
      </c>
      <c r="AM30" s="1221">
        <f t="shared" si="14"/>
        <v>0.98393201506591332</v>
      </c>
      <c r="AN30" s="1221">
        <f t="shared" si="14"/>
        <v>0</v>
      </c>
      <c r="AO30" s="1221">
        <f t="shared" si="14"/>
        <v>0</v>
      </c>
      <c r="AP30" s="1213">
        <f t="shared" ref="AP30:AS30" si="47">SUM(AP31)</f>
        <v>619855097.29193854</v>
      </c>
      <c r="AQ30" s="1222">
        <f t="shared" si="47"/>
        <v>246192053.63</v>
      </c>
      <c r="AR30" s="1213">
        <f t="shared" si="47"/>
        <v>0</v>
      </c>
      <c r="AS30" s="1213">
        <f t="shared" si="47"/>
        <v>0</v>
      </c>
      <c r="AT30" s="1221">
        <f t="shared" si="15"/>
        <v>0.66150099124303596</v>
      </c>
      <c r="AU30" s="1221">
        <f t="shared" si="15"/>
        <v>0.92727703815442564</v>
      </c>
      <c r="AV30" s="1221">
        <f t="shared" si="15"/>
        <v>0</v>
      </c>
      <c r="AW30" s="1221">
        <f t="shared" si="15"/>
        <v>0</v>
      </c>
      <c r="AX30" s="1213">
        <f t="shared" ref="AX30:BE30" si="48">SUM(AX31)</f>
        <v>48426798.89901638</v>
      </c>
      <c r="AY30" s="1213">
        <f t="shared" si="48"/>
        <v>15041896.370000005</v>
      </c>
      <c r="AZ30" s="1213">
        <f t="shared" si="48"/>
        <v>0</v>
      </c>
      <c r="BA30" s="1213">
        <f t="shared" si="48"/>
        <v>0</v>
      </c>
      <c r="BB30" s="1213">
        <f t="shared" si="48"/>
        <v>0</v>
      </c>
      <c r="BC30" s="1213">
        <f t="shared" si="48"/>
        <v>0</v>
      </c>
      <c r="BD30" s="1213">
        <f t="shared" si="48"/>
        <v>0</v>
      </c>
      <c r="BE30" s="1213">
        <f t="shared" si="48"/>
        <v>0</v>
      </c>
      <c r="BF30" s="1217">
        <f t="shared" si="17"/>
        <v>0</v>
      </c>
      <c r="BG30" s="1217">
        <f t="shared" si="17"/>
        <v>0</v>
      </c>
      <c r="BH30" s="1217" t="e">
        <f t="shared" si="17"/>
        <v>#DIV/0!</v>
      </c>
      <c r="BI30" s="1217" t="e">
        <f t="shared" si="17"/>
        <v>#DIV/0!</v>
      </c>
      <c r="BJ30" s="1213">
        <f t="shared" si="7"/>
        <v>1866043338.5551848</v>
      </c>
      <c r="BK30" s="1222">
        <f t="shared" si="8"/>
        <v>929515846.19095492</v>
      </c>
      <c r="BL30" s="1223">
        <f t="shared" si="9"/>
        <v>0.49812125312729771</v>
      </c>
      <c r="BM30" s="1222">
        <f t="shared" si="10"/>
        <v>866047150.92193854</v>
      </c>
      <c r="BN30" s="1224">
        <f t="shared" si="11"/>
        <v>0.46410880874422239</v>
      </c>
      <c r="BO30" s="1213"/>
      <c r="BP30" s="1225"/>
      <c r="BQ30" s="1226"/>
      <c r="BR30" s="1227"/>
    </row>
    <row r="31" spans="1:70" ht="43.8" customHeight="1" thickBot="1">
      <c r="A31" s="1228" t="s">
        <v>2244</v>
      </c>
      <c r="B31" s="1229" t="s">
        <v>2245</v>
      </c>
      <c r="C31" s="1230" t="s">
        <v>597</v>
      </c>
      <c r="D31" s="1231">
        <v>1</v>
      </c>
      <c r="E31" s="1232">
        <v>1</v>
      </c>
      <c r="F31" s="1232">
        <v>1</v>
      </c>
      <c r="G31" s="1233">
        <v>1</v>
      </c>
      <c r="H31" s="1234">
        <v>0.72</v>
      </c>
      <c r="I31" s="1235">
        <v>1</v>
      </c>
      <c r="J31" s="1236"/>
      <c r="K31" s="1236"/>
      <c r="L31" s="1236"/>
      <c r="M31" s="1237"/>
      <c r="N31" s="1237"/>
      <c r="O31" s="1237"/>
      <c r="P31" s="1238">
        <f t="shared" ref="P31:S31" si="49">IF((H31+L31)/D31&gt;=100%,100%,(H31+L31)/D31)</f>
        <v>0.72</v>
      </c>
      <c r="Q31" s="1239">
        <f t="shared" si="49"/>
        <v>1</v>
      </c>
      <c r="R31" s="1239">
        <f t="shared" si="49"/>
        <v>0</v>
      </c>
      <c r="S31" s="1239">
        <f t="shared" si="49"/>
        <v>0</v>
      </c>
      <c r="T31" s="1240" t="s">
        <v>2246</v>
      </c>
      <c r="U31" s="1034">
        <v>46022</v>
      </c>
      <c r="V31" s="1035">
        <f>SUM(D31:G31)</f>
        <v>4</v>
      </c>
      <c r="W31" s="1035">
        <f>SUM(H31:N31)</f>
        <v>1.72</v>
      </c>
      <c r="X31" s="1239">
        <f t="shared" ref="X31" si="50">IF(W31/V31&gt;=100%,100%,W31/V31)</f>
        <v>0.43</v>
      </c>
      <c r="Y31" s="1241">
        <v>1</v>
      </c>
      <c r="Z31" s="1241">
        <v>1</v>
      </c>
      <c r="AA31" s="1241">
        <v>1</v>
      </c>
      <c r="AB31" s="1241">
        <v>1</v>
      </c>
      <c r="AC31" s="1241">
        <v>1</v>
      </c>
      <c r="AD31" s="1242">
        <f>200000000+(1474086677.11037/2)</f>
        <v>937043338.55518496</v>
      </c>
      <c r="AE31" s="1243">
        <v>265500000</v>
      </c>
      <c r="AF31" s="1243">
        <v>313500000</v>
      </c>
      <c r="AG31" s="1243">
        <v>350000000</v>
      </c>
      <c r="AH31" s="1244">
        <f>195161824+(946240144.38191/2)</f>
        <v>668281896.19095492</v>
      </c>
      <c r="AI31" s="1244">
        <v>261233950</v>
      </c>
      <c r="AJ31" s="1244"/>
      <c r="AK31" s="1244"/>
      <c r="AL31" s="1245">
        <f t="shared" si="14"/>
        <v>0.7131814172238502</v>
      </c>
      <c r="AM31" s="1245">
        <f t="shared" si="14"/>
        <v>0.98393201506591332</v>
      </c>
      <c r="AN31" s="1245">
        <f t="shared" si="14"/>
        <v>0</v>
      </c>
      <c r="AO31" s="1245">
        <f t="shared" si="14"/>
        <v>0</v>
      </c>
      <c r="AP31" s="1246">
        <f>184712648+(870284898.583877/2)</f>
        <v>619855097.29193854</v>
      </c>
      <c r="AQ31" s="1247">
        <v>246192053.63</v>
      </c>
      <c r="AR31" s="1248"/>
      <c r="AS31" s="1248"/>
      <c r="AT31" s="1249">
        <f t="shared" si="15"/>
        <v>0.66150099124303596</v>
      </c>
      <c r="AU31" s="1249">
        <f t="shared" si="15"/>
        <v>0.92727703815442564</v>
      </c>
      <c r="AV31" s="1249">
        <f t="shared" si="15"/>
        <v>0</v>
      </c>
      <c r="AW31" s="1249">
        <f t="shared" si="15"/>
        <v>0</v>
      </c>
      <c r="AX31" s="1044">
        <f t="shared" ref="AX31:BA31" si="51">+AH31-AP31</f>
        <v>48426798.89901638</v>
      </c>
      <c r="AY31" s="1044">
        <f t="shared" si="51"/>
        <v>15041896.370000005</v>
      </c>
      <c r="AZ31" s="1044">
        <f t="shared" si="51"/>
        <v>0</v>
      </c>
      <c r="BA31" s="1044">
        <f t="shared" si="51"/>
        <v>0</v>
      </c>
      <c r="BB31" s="1250"/>
      <c r="BC31" s="1250"/>
      <c r="BD31" s="1250"/>
      <c r="BE31" s="1250"/>
      <c r="BF31" s="1251">
        <f t="shared" si="17"/>
        <v>0</v>
      </c>
      <c r="BG31" s="1251">
        <f t="shared" si="17"/>
        <v>0</v>
      </c>
      <c r="BH31" s="1251" t="e">
        <f t="shared" si="17"/>
        <v>#DIV/0!</v>
      </c>
      <c r="BI31" s="1251" t="e">
        <f t="shared" si="17"/>
        <v>#DIV/0!</v>
      </c>
      <c r="BJ31" s="1250">
        <f t="shared" si="7"/>
        <v>1866043338.5551848</v>
      </c>
      <c r="BK31" s="1252">
        <f t="shared" si="8"/>
        <v>929515846.19095492</v>
      </c>
      <c r="BL31" s="1253">
        <f t="shared" si="9"/>
        <v>0.49812125312729771</v>
      </c>
      <c r="BM31" s="1252">
        <f t="shared" si="10"/>
        <v>866047150.92193854</v>
      </c>
      <c r="BN31" s="1254">
        <f t="shared" si="11"/>
        <v>0.46410880874422239</v>
      </c>
      <c r="BO31" s="1049" t="s">
        <v>2226</v>
      </c>
      <c r="BP31" s="1081" t="s">
        <v>2183</v>
      </c>
      <c r="BQ31" s="1255" t="s">
        <v>9</v>
      </c>
      <c r="BR31" s="1256" t="s">
        <v>596</v>
      </c>
    </row>
    <row r="32" spans="1:70" ht="28.95" customHeight="1" thickBot="1">
      <c r="A32" s="1117" t="s">
        <v>2247</v>
      </c>
      <c r="B32" s="1257"/>
      <c r="C32" s="1258"/>
      <c r="D32" s="1258"/>
      <c r="E32" s="1259"/>
      <c r="F32" s="1259"/>
      <c r="G32" s="1259"/>
      <c r="H32" s="1259"/>
      <c r="I32" s="1260"/>
      <c r="J32" s="1260"/>
      <c r="K32" s="1260"/>
      <c r="L32" s="1260"/>
      <c r="M32" s="1260"/>
      <c r="N32" s="1260"/>
      <c r="O32" s="1260"/>
      <c r="P32" s="1261">
        <f>+SUMPRODUCT(P33:P37,Z33:Z37)</f>
        <v>1</v>
      </c>
      <c r="Q32" s="1262">
        <f>+SUMPRODUCT(Q33:Q37,AA33:AA37)</f>
        <v>1</v>
      </c>
      <c r="R32" s="1260" t="e">
        <f>+SUMPRODUCT(R33:R37,AB33:AB37)</f>
        <v>#DIV/0!</v>
      </c>
      <c r="S32" s="1260">
        <f>+SUMPRODUCT(S33:S37,AC33:AC37)</f>
        <v>0</v>
      </c>
      <c r="T32" s="1263"/>
      <c r="U32" s="1264"/>
      <c r="V32" s="1265"/>
      <c r="W32" s="1265"/>
      <c r="X32" s="1261">
        <f>+SUMPRODUCT(X33:X37,Y33:Y37)</f>
        <v>0.4375</v>
      </c>
      <c r="Y32" s="1262">
        <v>0.45</v>
      </c>
      <c r="Z32" s="1262">
        <v>0.45</v>
      </c>
      <c r="AA32" s="1262">
        <v>0.45</v>
      </c>
      <c r="AB32" s="1262">
        <v>0.45</v>
      </c>
      <c r="AC32" s="1262">
        <v>0.45</v>
      </c>
      <c r="AD32" s="1258">
        <f t="shared" ref="AD32:AK32" si="52">SUM(AD33:AD37)</f>
        <v>1370000000</v>
      </c>
      <c r="AE32" s="1258">
        <f t="shared" si="52"/>
        <v>2935750000</v>
      </c>
      <c r="AF32" s="1258">
        <f t="shared" si="52"/>
        <v>2327500000</v>
      </c>
      <c r="AG32" s="1258">
        <f t="shared" si="52"/>
        <v>4240000000</v>
      </c>
      <c r="AH32" s="1258">
        <f t="shared" si="52"/>
        <v>1344568971</v>
      </c>
      <c r="AI32" s="1258">
        <f t="shared" si="52"/>
        <v>2925368964</v>
      </c>
      <c r="AJ32" s="1258">
        <f t="shared" si="52"/>
        <v>0</v>
      </c>
      <c r="AK32" s="1258">
        <f t="shared" si="52"/>
        <v>0</v>
      </c>
      <c r="AL32" s="1266">
        <f t="shared" si="14"/>
        <v>0.98143720510948906</v>
      </c>
      <c r="AM32" s="1266">
        <f t="shared" si="14"/>
        <v>0.9964639236992251</v>
      </c>
      <c r="AN32" s="1266">
        <f t="shared" si="14"/>
        <v>0</v>
      </c>
      <c r="AO32" s="1266">
        <f t="shared" si="14"/>
        <v>0</v>
      </c>
      <c r="AP32" s="1258">
        <f>SUM(AP33:AP37)</f>
        <v>1203306687</v>
      </c>
      <c r="AQ32" s="1267">
        <f>SUM(AQ33:AQ37)</f>
        <v>2478844853.7399998</v>
      </c>
      <c r="AR32" s="1258">
        <f>SUM(AR33:AR37)</f>
        <v>0</v>
      </c>
      <c r="AS32" s="1258">
        <f>SUM(AS33:AS37)</f>
        <v>0</v>
      </c>
      <c r="AT32" s="1266">
        <f t="shared" si="15"/>
        <v>0.87832604890510946</v>
      </c>
      <c r="AU32" s="1266">
        <f t="shared" si="15"/>
        <v>0.84436510388827379</v>
      </c>
      <c r="AV32" s="1266">
        <f t="shared" si="15"/>
        <v>0</v>
      </c>
      <c r="AW32" s="1266">
        <f t="shared" si="15"/>
        <v>0</v>
      </c>
      <c r="AX32" s="1258">
        <f t="shared" ref="AX32:BE32" si="53">SUM(AX33:AX37)</f>
        <v>141262284</v>
      </c>
      <c r="AY32" s="1258">
        <f t="shared" si="53"/>
        <v>446524110.25999999</v>
      </c>
      <c r="AZ32" s="1258">
        <f t="shared" si="53"/>
        <v>0</v>
      </c>
      <c r="BA32" s="1258">
        <f t="shared" si="53"/>
        <v>0</v>
      </c>
      <c r="BB32" s="1258">
        <f t="shared" si="53"/>
        <v>0</v>
      </c>
      <c r="BC32" s="1258">
        <f t="shared" si="53"/>
        <v>0</v>
      </c>
      <c r="BD32" s="1258">
        <f t="shared" si="53"/>
        <v>0</v>
      </c>
      <c r="BE32" s="1258">
        <f t="shared" si="53"/>
        <v>0</v>
      </c>
      <c r="BF32" s="1262">
        <f t="shared" si="17"/>
        <v>0</v>
      </c>
      <c r="BG32" s="1262">
        <f t="shared" si="17"/>
        <v>0</v>
      </c>
      <c r="BH32" s="1262" t="e">
        <f t="shared" si="17"/>
        <v>#DIV/0!</v>
      </c>
      <c r="BI32" s="1262" t="e">
        <f t="shared" si="17"/>
        <v>#DIV/0!</v>
      </c>
      <c r="BJ32" s="1258">
        <f t="shared" si="7"/>
        <v>10873250000</v>
      </c>
      <c r="BK32" s="1267">
        <f t="shared" si="8"/>
        <v>4269937935</v>
      </c>
      <c r="BL32" s="1268">
        <f t="shared" si="9"/>
        <v>0.39270116432529373</v>
      </c>
      <c r="BM32" s="1267">
        <f t="shared" si="10"/>
        <v>3682151540.7399998</v>
      </c>
      <c r="BN32" s="1269">
        <f t="shared" si="11"/>
        <v>0.33864314172303589</v>
      </c>
      <c r="BO32" s="1258"/>
      <c r="BP32" s="1270"/>
      <c r="BQ32" s="1271"/>
      <c r="BR32" s="1272"/>
    </row>
    <row r="33" spans="1:70" ht="27.6" customHeight="1" thickBot="1">
      <c r="A33" s="1023" t="s">
        <v>2248</v>
      </c>
      <c r="B33" s="1273" t="s">
        <v>2249</v>
      </c>
      <c r="C33" s="1274" t="s">
        <v>597</v>
      </c>
      <c r="D33" s="1275">
        <v>1</v>
      </c>
      <c r="E33" s="1276">
        <v>1</v>
      </c>
      <c r="F33" s="1276">
        <v>1</v>
      </c>
      <c r="G33" s="1277">
        <v>1</v>
      </c>
      <c r="H33" s="1278">
        <v>1</v>
      </c>
      <c r="I33" s="1279">
        <v>1</v>
      </c>
      <c r="J33" s="1279"/>
      <c r="K33" s="1280"/>
      <c r="L33" s="1279"/>
      <c r="M33" s="1281"/>
      <c r="N33" s="1281"/>
      <c r="O33" s="1281"/>
      <c r="P33" s="1032">
        <f t="shared" ref="P33:S37" si="54">IF((H33+L33)/D33&gt;=100%,100%,(H33+L33)/D33)</f>
        <v>1</v>
      </c>
      <c r="Q33" s="1032">
        <f t="shared" si="54"/>
        <v>1</v>
      </c>
      <c r="R33" s="1032">
        <f t="shared" si="54"/>
        <v>0</v>
      </c>
      <c r="S33" s="1032">
        <f t="shared" si="54"/>
        <v>0</v>
      </c>
      <c r="T33" s="1033" t="s">
        <v>2250</v>
      </c>
      <c r="U33" s="1034">
        <v>46022</v>
      </c>
      <c r="V33" s="1035">
        <f t="shared" ref="V33:V37" si="55">SUM(D33:G33)</f>
        <v>4</v>
      </c>
      <c r="W33" s="1035">
        <f t="shared" ref="W33:W37" si="56">SUM(H33:N33)</f>
        <v>2</v>
      </c>
      <c r="X33" s="1282">
        <f t="shared" ref="X33:X35" si="57">IF(W33/V33&gt;=100%,100%,W33/V33)</f>
        <v>0.5</v>
      </c>
      <c r="Y33" s="1037">
        <v>0.15</v>
      </c>
      <c r="Z33" s="1037">
        <v>0.15</v>
      </c>
      <c r="AA33" s="1037">
        <v>0.15</v>
      </c>
      <c r="AB33" s="1037">
        <v>0.15</v>
      </c>
      <c r="AC33" s="1037">
        <v>0.15</v>
      </c>
      <c r="AD33" s="1137">
        <v>150000000</v>
      </c>
      <c r="AE33" s="1137">
        <v>384750000</v>
      </c>
      <c r="AF33" s="1137">
        <v>427500000</v>
      </c>
      <c r="AG33" s="1137">
        <v>500000000</v>
      </c>
      <c r="AH33" s="1137">
        <v>148783178</v>
      </c>
      <c r="AI33" s="1137">
        <v>377154603</v>
      </c>
      <c r="AJ33" s="1137"/>
      <c r="AK33" s="1137"/>
      <c r="AL33" s="1039">
        <f t="shared" si="14"/>
        <v>0.99188785333333329</v>
      </c>
      <c r="AM33" s="1039">
        <f t="shared" si="14"/>
        <v>0.98025887719298244</v>
      </c>
      <c r="AN33" s="1039">
        <f t="shared" si="14"/>
        <v>0</v>
      </c>
      <c r="AO33" s="1039">
        <f t="shared" si="14"/>
        <v>0</v>
      </c>
      <c r="AP33" s="1283">
        <v>144370025</v>
      </c>
      <c r="AQ33" s="1041">
        <v>362731960.51999998</v>
      </c>
      <c r="AR33" s="1042"/>
      <c r="AS33" s="1042"/>
      <c r="AT33" s="1043">
        <f t="shared" si="15"/>
        <v>0.96246683333333338</v>
      </c>
      <c r="AU33" s="1043">
        <f t="shared" si="15"/>
        <v>0.94277312675763481</v>
      </c>
      <c r="AV33" s="1043">
        <f t="shared" si="15"/>
        <v>0</v>
      </c>
      <c r="AW33" s="1043">
        <f t="shared" si="15"/>
        <v>0</v>
      </c>
      <c r="AX33" s="1044">
        <f t="shared" ref="AX33:BA37" si="58">+AH33-AP33</f>
        <v>4413153</v>
      </c>
      <c r="AY33" s="1044">
        <f t="shared" si="58"/>
        <v>14422642.480000019</v>
      </c>
      <c r="AZ33" s="1044">
        <f t="shared" si="58"/>
        <v>0</v>
      </c>
      <c r="BA33" s="1044">
        <f t="shared" si="58"/>
        <v>0</v>
      </c>
      <c r="BB33" s="1283"/>
      <c r="BC33" s="1283"/>
      <c r="BD33" s="1283"/>
      <c r="BE33" s="1283"/>
      <c r="BF33" s="1045">
        <f t="shared" si="17"/>
        <v>0</v>
      </c>
      <c r="BG33" s="1045">
        <f t="shared" si="17"/>
        <v>0</v>
      </c>
      <c r="BH33" s="1045" t="e">
        <f t="shared" si="17"/>
        <v>#DIV/0!</v>
      </c>
      <c r="BI33" s="1045" t="e">
        <f t="shared" si="17"/>
        <v>#DIV/0!</v>
      </c>
      <c r="BJ33" s="1283">
        <f t="shared" si="7"/>
        <v>1462250000</v>
      </c>
      <c r="BK33" s="1046">
        <f t="shared" si="8"/>
        <v>525937781</v>
      </c>
      <c r="BL33" s="1047">
        <f t="shared" si="9"/>
        <v>0.35967706001025818</v>
      </c>
      <c r="BM33" s="1046">
        <f t="shared" si="10"/>
        <v>507101985.51999998</v>
      </c>
      <c r="BN33" s="1048">
        <f t="shared" si="11"/>
        <v>0.34679568166866132</v>
      </c>
      <c r="BO33" s="1049"/>
      <c r="BP33" s="1050" t="s">
        <v>2183</v>
      </c>
      <c r="BQ33" s="1051" t="s">
        <v>2251</v>
      </c>
      <c r="BR33" s="1052" t="s">
        <v>2252</v>
      </c>
    </row>
    <row r="34" spans="1:70" ht="28.95" customHeight="1" thickBot="1">
      <c r="A34" s="1094" t="s">
        <v>2253</v>
      </c>
      <c r="B34" s="1284" t="s">
        <v>2254</v>
      </c>
      <c r="C34" s="1285" t="s">
        <v>2181</v>
      </c>
      <c r="D34" s="1286">
        <v>1</v>
      </c>
      <c r="E34" s="1287">
        <v>1</v>
      </c>
      <c r="F34" s="1287">
        <v>1</v>
      </c>
      <c r="G34" s="1288">
        <v>1</v>
      </c>
      <c r="H34" s="1289">
        <v>0</v>
      </c>
      <c r="I34" s="1290">
        <v>1</v>
      </c>
      <c r="J34" s="1291"/>
      <c r="K34" s="1291"/>
      <c r="L34" s="1182">
        <v>1</v>
      </c>
      <c r="M34" s="1292"/>
      <c r="N34" s="1292"/>
      <c r="O34" s="1292"/>
      <c r="P34" s="1102">
        <f t="shared" si="54"/>
        <v>1</v>
      </c>
      <c r="Q34" s="1102">
        <f t="shared" si="54"/>
        <v>1</v>
      </c>
      <c r="R34" s="1102">
        <f t="shared" si="54"/>
        <v>0</v>
      </c>
      <c r="S34" s="1102">
        <f t="shared" si="54"/>
        <v>0</v>
      </c>
      <c r="T34" s="1293" t="s">
        <v>2255</v>
      </c>
      <c r="U34" s="1294">
        <v>46022</v>
      </c>
      <c r="V34" s="1035">
        <f t="shared" si="55"/>
        <v>4</v>
      </c>
      <c r="W34" s="1035">
        <f t="shared" si="56"/>
        <v>2</v>
      </c>
      <c r="X34" s="1157">
        <f t="shared" si="57"/>
        <v>0.5</v>
      </c>
      <c r="Y34" s="1104">
        <v>0.4</v>
      </c>
      <c r="Z34" s="1104">
        <v>0.5</v>
      </c>
      <c r="AA34" s="1104">
        <v>0.5</v>
      </c>
      <c r="AB34" s="1104">
        <v>0.5</v>
      </c>
      <c r="AC34" s="1104">
        <v>0.5</v>
      </c>
      <c r="AD34" s="1106">
        <v>750000000</v>
      </c>
      <c r="AE34" s="1106">
        <v>1000000000</v>
      </c>
      <c r="AF34" s="1106">
        <v>1140000000</v>
      </c>
      <c r="AG34" s="1106">
        <v>1300000000</v>
      </c>
      <c r="AH34" s="1106">
        <v>730000000</v>
      </c>
      <c r="AI34" s="1106">
        <v>1000000000</v>
      </c>
      <c r="AJ34" s="1106"/>
      <c r="AK34" s="1106"/>
      <c r="AL34" s="1295">
        <f t="shared" si="14"/>
        <v>0.97333333333333338</v>
      </c>
      <c r="AM34" s="1295">
        <f t="shared" si="14"/>
        <v>1</v>
      </c>
      <c r="AN34" s="1295">
        <f t="shared" si="14"/>
        <v>0</v>
      </c>
      <c r="AO34" s="1295">
        <f t="shared" si="14"/>
        <v>0</v>
      </c>
      <c r="AP34" s="1107">
        <v>599999980</v>
      </c>
      <c r="AQ34" s="1187">
        <v>839527609.01999998</v>
      </c>
      <c r="AR34" s="1188"/>
      <c r="AS34" s="1188"/>
      <c r="AT34" s="1189">
        <f t="shared" si="15"/>
        <v>0.79999997333333328</v>
      </c>
      <c r="AU34" s="1189">
        <f t="shared" si="15"/>
        <v>0.83952760902000001</v>
      </c>
      <c r="AV34" s="1189">
        <f t="shared" si="15"/>
        <v>0</v>
      </c>
      <c r="AW34" s="1189">
        <f t="shared" si="15"/>
        <v>0</v>
      </c>
      <c r="AX34" s="1044">
        <f t="shared" si="58"/>
        <v>130000020</v>
      </c>
      <c r="AY34" s="1044">
        <f t="shared" si="58"/>
        <v>160472390.98000002</v>
      </c>
      <c r="AZ34" s="1044">
        <f t="shared" si="58"/>
        <v>0</v>
      </c>
      <c r="BA34" s="1044">
        <f t="shared" si="58"/>
        <v>0</v>
      </c>
      <c r="BB34" s="1107"/>
      <c r="BC34" s="1107"/>
      <c r="BD34" s="1107"/>
      <c r="BE34" s="1107"/>
      <c r="BF34" s="1190">
        <f t="shared" si="17"/>
        <v>0</v>
      </c>
      <c r="BG34" s="1190">
        <f t="shared" si="17"/>
        <v>0</v>
      </c>
      <c r="BH34" s="1190" t="e">
        <f t="shared" si="17"/>
        <v>#DIV/0!</v>
      </c>
      <c r="BI34" s="1190" t="e">
        <f t="shared" si="17"/>
        <v>#DIV/0!</v>
      </c>
      <c r="BJ34" s="1107">
        <f t="shared" si="7"/>
        <v>4190000000</v>
      </c>
      <c r="BK34" s="1110">
        <f t="shared" si="8"/>
        <v>1730000000</v>
      </c>
      <c r="BL34" s="1111">
        <f t="shared" si="9"/>
        <v>0.41288782816229119</v>
      </c>
      <c r="BM34" s="1110">
        <f t="shared" si="10"/>
        <v>1439527589.02</v>
      </c>
      <c r="BN34" s="1112">
        <f t="shared" si="11"/>
        <v>0.3435626704105012</v>
      </c>
      <c r="BO34" s="1113"/>
      <c r="BP34" s="1296" t="s">
        <v>2183</v>
      </c>
      <c r="BQ34" s="1077" t="s">
        <v>2251</v>
      </c>
      <c r="BR34" s="1078" t="s">
        <v>2252</v>
      </c>
    </row>
    <row r="35" spans="1:70" ht="45" customHeight="1" thickBot="1">
      <c r="A35" s="1297" t="s">
        <v>2256</v>
      </c>
      <c r="B35" s="1298" t="s">
        <v>2257</v>
      </c>
      <c r="C35" s="1299" t="s">
        <v>2181</v>
      </c>
      <c r="D35" s="1300">
        <v>1</v>
      </c>
      <c r="E35" s="1301">
        <v>1</v>
      </c>
      <c r="F35" s="1301">
        <v>1</v>
      </c>
      <c r="G35" s="1302">
        <v>1</v>
      </c>
      <c r="H35" s="1303">
        <v>1</v>
      </c>
      <c r="I35" s="1290">
        <v>1</v>
      </c>
      <c r="J35" s="1304"/>
      <c r="K35" s="1304"/>
      <c r="L35" s="1290"/>
      <c r="M35" s="1305"/>
      <c r="N35" s="1305"/>
      <c r="O35" s="1305"/>
      <c r="P35" s="1306">
        <f t="shared" si="54"/>
        <v>1</v>
      </c>
      <c r="Q35" s="1306">
        <f t="shared" si="54"/>
        <v>1</v>
      </c>
      <c r="R35" s="1306">
        <f t="shared" si="54"/>
        <v>0</v>
      </c>
      <c r="S35" s="1306">
        <f t="shared" si="54"/>
        <v>0</v>
      </c>
      <c r="T35" s="1307" t="s">
        <v>2258</v>
      </c>
      <c r="U35" s="1034">
        <v>46022</v>
      </c>
      <c r="V35" s="1035">
        <f t="shared" si="55"/>
        <v>4</v>
      </c>
      <c r="W35" s="1035">
        <f t="shared" si="56"/>
        <v>2</v>
      </c>
      <c r="X35" s="1308">
        <f t="shared" si="57"/>
        <v>0.5</v>
      </c>
      <c r="Y35" s="1309">
        <v>0.125</v>
      </c>
      <c r="Z35" s="1309">
        <v>0.15</v>
      </c>
      <c r="AA35" s="1309">
        <v>0.15</v>
      </c>
      <c r="AB35" s="1309">
        <v>0.15</v>
      </c>
      <c r="AC35" s="1309">
        <v>0.15</v>
      </c>
      <c r="AD35" s="1310">
        <v>270000000</v>
      </c>
      <c r="AE35" s="1310">
        <v>351000000</v>
      </c>
      <c r="AF35" s="1310">
        <v>418000000</v>
      </c>
      <c r="AG35" s="1310">
        <v>460000000</v>
      </c>
      <c r="AH35" s="1310">
        <v>270000000</v>
      </c>
      <c r="AI35" s="1310">
        <v>351000000</v>
      </c>
      <c r="AJ35" s="1310"/>
      <c r="AK35" s="1310"/>
      <c r="AL35" s="1311">
        <f t="shared" si="14"/>
        <v>1</v>
      </c>
      <c r="AM35" s="1311">
        <f t="shared" si="14"/>
        <v>1</v>
      </c>
      <c r="AN35" s="1311">
        <f t="shared" si="14"/>
        <v>0</v>
      </c>
      <c r="AO35" s="1311">
        <f t="shared" si="14"/>
        <v>0</v>
      </c>
      <c r="AP35" s="1312">
        <v>270000000</v>
      </c>
      <c r="AQ35" s="1313">
        <v>346616068.75</v>
      </c>
      <c r="AR35" s="1314"/>
      <c r="AS35" s="1314"/>
      <c r="AT35" s="1315">
        <f t="shared" si="15"/>
        <v>1</v>
      </c>
      <c r="AU35" s="1315">
        <f t="shared" si="15"/>
        <v>0.98751016737891739</v>
      </c>
      <c r="AV35" s="1315">
        <f t="shared" si="15"/>
        <v>0</v>
      </c>
      <c r="AW35" s="1315">
        <f t="shared" si="15"/>
        <v>0</v>
      </c>
      <c r="AX35" s="1044">
        <f t="shared" si="58"/>
        <v>0</v>
      </c>
      <c r="AY35" s="1044">
        <f t="shared" si="58"/>
        <v>4383931.25</v>
      </c>
      <c r="AZ35" s="1044">
        <f t="shared" si="58"/>
        <v>0</v>
      </c>
      <c r="BA35" s="1044">
        <f t="shared" si="58"/>
        <v>0</v>
      </c>
      <c r="BB35" s="1312"/>
      <c r="BC35" s="1312"/>
      <c r="BD35" s="1312"/>
      <c r="BE35" s="1312"/>
      <c r="BF35" s="1316" t="e">
        <f t="shared" si="17"/>
        <v>#DIV/0!</v>
      </c>
      <c r="BG35" s="1316">
        <f t="shared" si="17"/>
        <v>0</v>
      </c>
      <c r="BH35" s="1316" t="e">
        <f t="shared" si="17"/>
        <v>#DIV/0!</v>
      </c>
      <c r="BI35" s="1316" t="e">
        <f t="shared" si="17"/>
        <v>#DIV/0!</v>
      </c>
      <c r="BJ35" s="1312">
        <f t="shared" si="7"/>
        <v>1499000000</v>
      </c>
      <c r="BK35" s="1317">
        <f t="shared" si="8"/>
        <v>621000000</v>
      </c>
      <c r="BL35" s="1318">
        <f t="shared" si="9"/>
        <v>0.41427618412274853</v>
      </c>
      <c r="BM35" s="1317">
        <f t="shared" si="10"/>
        <v>616616068.75</v>
      </c>
      <c r="BN35" s="1319">
        <f t="shared" si="11"/>
        <v>0.41135161357571715</v>
      </c>
      <c r="BO35" s="1320"/>
      <c r="BP35" s="1321" t="s">
        <v>2183</v>
      </c>
      <c r="BQ35" s="1082" t="s">
        <v>2193</v>
      </c>
      <c r="BR35" s="1078" t="s">
        <v>2252</v>
      </c>
    </row>
    <row r="36" spans="1:70" ht="36.6" customHeight="1" thickBot="1">
      <c r="A36" s="1053" t="s">
        <v>2259</v>
      </c>
      <c r="B36" s="1322" t="s">
        <v>2260</v>
      </c>
      <c r="C36" s="1055" t="s">
        <v>2181</v>
      </c>
      <c r="D36" s="1323">
        <v>0</v>
      </c>
      <c r="E36" s="1324">
        <v>0</v>
      </c>
      <c r="F36" s="1324">
        <v>0</v>
      </c>
      <c r="G36" s="1325">
        <v>1</v>
      </c>
      <c r="H36" s="1326"/>
      <c r="I36" s="1327"/>
      <c r="J36" s="1327"/>
      <c r="K36" s="1327"/>
      <c r="L36" s="1060"/>
      <c r="M36" s="1328"/>
      <c r="N36" s="1328"/>
      <c r="O36" s="1328"/>
      <c r="P36" s="1062"/>
      <c r="Q36" s="1062"/>
      <c r="R36" s="1062" t="e">
        <f t="shared" si="54"/>
        <v>#DIV/0!</v>
      </c>
      <c r="S36" s="1062">
        <f t="shared" si="54"/>
        <v>0</v>
      </c>
      <c r="T36" s="1080"/>
      <c r="U36" s="1329"/>
      <c r="V36" s="1035">
        <f t="shared" si="55"/>
        <v>1</v>
      </c>
      <c r="W36" s="1035">
        <f t="shared" si="56"/>
        <v>0</v>
      </c>
      <c r="X36" s="1036">
        <f>IF(W36/V36&gt;=100%,100%,W36/V36)</f>
        <v>0</v>
      </c>
      <c r="Y36" s="1065">
        <v>0.125</v>
      </c>
      <c r="Z36" s="1065">
        <v>0</v>
      </c>
      <c r="AA36" s="1065">
        <v>0</v>
      </c>
      <c r="AB36" s="1065">
        <v>0</v>
      </c>
      <c r="AC36" s="1065">
        <v>0</v>
      </c>
      <c r="AD36" s="1066">
        <v>0</v>
      </c>
      <c r="AE36" s="1066">
        <v>0</v>
      </c>
      <c r="AF36" s="1066">
        <v>0</v>
      </c>
      <c r="AG36" s="1066">
        <v>1580000000</v>
      </c>
      <c r="AH36" s="1066">
        <v>0</v>
      </c>
      <c r="AI36" s="1066">
        <v>0</v>
      </c>
      <c r="AJ36" s="1066"/>
      <c r="AK36" s="1066"/>
      <c r="AL36" s="1112" t="e">
        <f t="shared" si="14"/>
        <v>#DIV/0!</v>
      </c>
      <c r="AM36" s="1112" t="e">
        <f t="shared" si="14"/>
        <v>#DIV/0!</v>
      </c>
      <c r="AN36" s="1112" t="e">
        <f t="shared" si="14"/>
        <v>#DIV/0!</v>
      </c>
      <c r="AO36" s="1112">
        <f t="shared" si="14"/>
        <v>0</v>
      </c>
      <c r="AP36" s="1070">
        <v>0</v>
      </c>
      <c r="AQ36" s="1068"/>
      <c r="AR36" s="1069">
        <f t="shared" ref="AR36:AS36" si="59">+AR37</f>
        <v>0</v>
      </c>
      <c r="AS36" s="1069">
        <f t="shared" si="59"/>
        <v>0</v>
      </c>
      <c r="AT36" s="1140" t="e">
        <f t="shared" si="15"/>
        <v>#DIV/0!</v>
      </c>
      <c r="AU36" s="1140" t="e">
        <f t="shared" si="15"/>
        <v>#DIV/0!</v>
      </c>
      <c r="AV36" s="1140" t="e">
        <f t="shared" si="15"/>
        <v>#DIV/0!</v>
      </c>
      <c r="AW36" s="1140">
        <f t="shared" si="15"/>
        <v>0</v>
      </c>
      <c r="AX36" s="1044">
        <f t="shared" si="58"/>
        <v>0</v>
      </c>
      <c r="AY36" s="1044">
        <f t="shared" si="58"/>
        <v>0</v>
      </c>
      <c r="AZ36" s="1044">
        <f t="shared" si="58"/>
        <v>0</v>
      </c>
      <c r="BA36" s="1044">
        <f t="shared" si="58"/>
        <v>0</v>
      </c>
      <c r="BB36" s="1070"/>
      <c r="BC36" s="1070"/>
      <c r="BD36" s="1070"/>
      <c r="BE36" s="1070"/>
      <c r="BF36" s="1071" t="e">
        <f t="shared" si="17"/>
        <v>#DIV/0!</v>
      </c>
      <c r="BG36" s="1071" t="e">
        <f t="shared" si="17"/>
        <v>#DIV/0!</v>
      </c>
      <c r="BH36" s="1071" t="e">
        <f t="shared" si="17"/>
        <v>#DIV/0!</v>
      </c>
      <c r="BI36" s="1071" t="e">
        <f t="shared" si="17"/>
        <v>#DIV/0!</v>
      </c>
      <c r="BJ36" s="1070">
        <f t="shared" si="7"/>
        <v>1580000000</v>
      </c>
      <c r="BK36" s="1072">
        <f t="shared" si="8"/>
        <v>0</v>
      </c>
      <c r="BL36" s="1073">
        <f t="shared" si="9"/>
        <v>0</v>
      </c>
      <c r="BM36" s="1072">
        <f t="shared" si="10"/>
        <v>0</v>
      </c>
      <c r="BN36" s="1074">
        <f t="shared" si="11"/>
        <v>0</v>
      </c>
      <c r="BO36" s="1075"/>
      <c r="BP36" s="1330" t="s">
        <v>2183</v>
      </c>
      <c r="BQ36" s="1082" t="s">
        <v>2193</v>
      </c>
      <c r="BR36" s="1078" t="s">
        <v>2252</v>
      </c>
    </row>
    <row r="37" spans="1:70" ht="55.05" customHeight="1" thickBot="1">
      <c r="A37" s="1094" t="s">
        <v>2261</v>
      </c>
      <c r="B37" s="1331" t="s">
        <v>2262</v>
      </c>
      <c r="C37" s="1152" t="s">
        <v>2181</v>
      </c>
      <c r="D37" s="1286">
        <v>1</v>
      </c>
      <c r="E37" s="1287">
        <v>1</v>
      </c>
      <c r="F37" s="1287">
        <v>1</v>
      </c>
      <c r="G37" s="1288">
        <v>1</v>
      </c>
      <c r="H37" s="1332">
        <v>1</v>
      </c>
      <c r="I37" s="1290">
        <v>1</v>
      </c>
      <c r="J37" s="1291"/>
      <c r="K37" s="1291"/>
      <c r="L37" s="1182"/>
      <c r="M37" s="1292"/>
      <c r="N37" s="1292"/>
      <c r="O37" s="1292"/>
      <c r="P37" s="1102">
        <f t="shared" si="54"/>
        <v>1</v>
      </c>
      <c r="Q37" s="1102">
        <f t="shared" si="54"/>
        <v>1</v>
      </c>
      <c r="R37" s="1102">
        <f t="shared" si="54"/>
        <v>0</v>
      </c>
      <c r="S37" s="1102">
        <f t="shared" si="54"/>
        <v>0</v>
      </c>
      <c r="T37" s="1333" t="s">
        <v>2263</v>
      </c>
      <c r="U37" s="1034">
        <v>46022</v>
      </c>
      <c r="V37" s="1035">
        <f t="shared" si="55"/>
        <v>4</v>
      </c>
      <c r="W37" s="1035">
        <f t="shared" si="56"/>
        <v>2</v>
      </c>
      <c r="X37" s="1036">
        <f>IF(W37/V37&gt;=100%,100%,W37/V37)</f>
        <v>0.5</v>
      </c>
      <c r="Y37" s="1104">
        <v>0.2</v>
      </c>
      <c r="Z37" s="1104">
        <v>0.2</v>
      </c>
      <c r="AA37" s="1104">
        <v>0.2</v>
      </c>
      <c r="AB37" s="1104">
        <v>0.2</v>
      </c>
      <c r="AC37" s="1104">
        <v>0.2</v>
      </c>
      <c r="AD37" s="1106">
        <v>200000000</v>
      </c>
      <c r="AE37" s="1106">
        <v>1200000000</v>
      </c>
      <c r="AF37" s="1106">
        <v>342000000</v>
      </c>
      <c r="AG37" s="1106">
        <v>400000000</v>
      </c>
      <c r="AH37" s="1106">
        <v>195785793</v>
      </c>
      <c r="AI37" s="1106">
        <v>1197214361</v>
      </c>
      <c r="AJ37" s="1106"/>
      <c r="AK37" s="1106"/>
      <c r="AL37" s="1295">
        <f t="shared" si="14"/>
        <v>0.97892896500000004</v>
      </c>
      <c r="AM37" s="1295">
        <f t="shared" si="14"/>
        <v>0.99767863416666669</v>
      </c>
      <c r="AN37" s="1295">
        <f t="shared" si="14"/>
        <v>0</v>
      </c>
      <c r="AO37" s="1295">
        <f t="shared" si="14"/>
        <v>0</v>
      </c>
      <c r="AP37" s="1107">
        <v>188936682</v>
      </c>
      <c r="AQ37" s="1187">
        <v>929969215.45000005</v>
      </c>
      <c r="AR37" s="1188">
        <f t="shared" ref="AR37:AS37" si="60">+AR38+AR43</f>
        <v>0</v>
      </c>
      <c r="AS37" s="1188">
        <f t="shared" si="60"/>
        <v>0</v>
      </c>
      <c r="AT37" s="1189">
        <f t="shared" si="15"/>
        <v>0.94468341</v>
      </c>
      <c r="AU37" s="1189">
        <f t="shared" si="15"/>
        <v>0.77497434620833339</v>
      </c>
      <c r="AV37" s="1189">
        <f t="shared" si="15"/>
        <v>0</v>
      </c>
      <c r="AW37" s="1189">
        <f t="shared" si="15"/>
        <v>0</v>
      </c>
      <c r="AX37" s="1044">
        <f t="shared" si="58"/>
        <v>6849111</v>
      </c>
      <c r="AY37" s="1044">
        <f t="shared" si="58"/>
        <v>267245145.54999995</v>
      </c>
      <c r="AZ37" s="1044">
        <f t="shared" si="58"/>
        <v>0</v>
      </c>
      <c r="BA37" s="1044">
        <f t="shared" si="58"/>
        <v>0</v>
      </c>
      <c r="BB37" s="1107"/>
      <c r="BC37" s="1107"/>
      <c r="BD37" s="1107"/>
      <c r="BE37" s="1107"/>
      <c r="BF37" s="1190">
        <f t="shared" si="17"/>
        <v>0</v>
      </c>
      <c r="BG37" s="1190">
        <f t="shared" si="17"/>
        <v>0</v>
      </c>
      <c r="BH37" s="1190" t="e">
        <f t="shared" si="17"/>
        <v>#DIV/0!</v>
      </c>
      <c r="BI37" s="1190" t="e">
        <f t="shared" si="17"/>
        <v>#DIV/0!</v>
      </c>
      <c r="BJ37" s="1107">
        <f t="shared" si="7"/>
        <v>2142000000</v>
      </c>
      <c r="BK37" s="1110">
        <f t="shared" si="8"/>
        <v>1393000154</v>
      </c>
      <c r="BL37" s="1111">
        <f t="shared" si="9"/>
        <v>0.65032686928104577</v>
      </c>
      <c r="BM37" s="1110">
        <f t="shared" si="10"/>
        <v>1118905897.45</v>
      </c>
      <c r="BN37" s="1112">
        <f t="shared" si="11"/>
        <v>0.52236503148926239</v>
      </c>
      <c r="BO37" s="1113"/>
      <c r="BP37" s="1334" t="s">
        <v>2183</v>
      </c>
      <c r="BQ37" s="1115" t="s">
        <v>2193</v>
      </c>
      <c r="BR37" s="1335" t="s">
        <v>2252</v>
      </c>
    </row>
    <row r="38" spans="1:70" ht="42" customHeight="1" thickBot="1">
      <c r="A38" s="1117" t="s">
        <v>2264</v>
      </c>
      <c r="B38" s="1117"/>
      <c r="C38" s="1118"/>
      <c r="D38" s="1118"/>
      <c r="E38" s="1119"/>
      <c r="F38" s="1119"/>
      <c r="G38" s="1119"/>
      <c r="H38" s="1119"/>
      <c r="I38" s="1119"/>
      <c r="J38" s="1119"/>
      <c r="K38" s="1119"/>
      <c r="L38" s="1119"/>
      <c r="M38" s="1119"/>
      <c r="N38" s="1119"/>
      <c r="O38" s="1119"/>
      <c r="P38" s="1120">
        <f>+SUMPRODUCT(P39:P40,Z39:Z40)</f>
        <v>1</v>
      </c>
      <c r="Q38" s="1120">
        <f>+SUMPRODUCT(Q39:Q40,AA39:AA40)</f>
        <v>1</v>
      </c>
      <c r="R38" s="1336">
        <f>+SUMPRODUCT(R39:R40,AB39:AB40)</f>
        <v>0</v>
      </c>
      <c r="S38" s="1336">
        <f>+SUMPRODUCT(S39:S40,AC39:AC40)</f>
        <v>0</v>
      </c>
      <c r="T38" s="1337"/>
      <c r="U38" s="1117"/>
      <c r="V38" s="1125"/>
      <c r="W38" s="1125"/>
      <c r="X38" s="1120">
        <f>+SUMPRODUCT(X39:X40,Y39:Y40)</f>
        <v>0.72500000000000009</v>
      </c>
      <c r="Y38" s="1121">
        <v>0.5</v>
      </c>
      <c r="Z38" s="1121">
        <v>0.5</v>
      </c>
      <c r="AA38" s="1121">
        <v>0.5</v>
      </c>
      <c r="AB38" s="1121">
        <v>0.5</v>
      </c>
      <c r="AC38" s="1121">
        <v>0.5</v>
      </c>
      <c r="AD38" s="1338">
        <f>SUM(AD39:AD40)</f>
        <v>10023055368.992886</v>
      </c>
      <c r="AE38" s="1338">
        <f>SUM(AE39:AE40)</f>
        <v>6491548052</v>
      </c>
      <c r="AF38" s="1338">
        <f t="shared" ref="AF38:AK38" si="61">SUM(AF39:AF40)</f>
        <v>1292000000</v>
      </c>
      <c r="AG38" s="1338">
        <f t="shared" si="61"/>
        <v>1700000000</v>
      </c>
      <c r="AH38" s="1338">
        <f t="shared" si="61"/>
        <v>6862633785.9286556</v>
      </c>
      <c r="AI38" s="1338">
        <f t="shared" si="61"/>
        <v>6483851625</v>
      </c>
      <c r="AJ38" s="1338">
        <f t="shared" si="61"/>
        <v>0</v>
      </c>
      <c r="AK38" s="1338">
        <f t="shared" si="61"/>
        <v>0</v>
      </c>
      <c r="AL38" s="1128">
        <f t="shared" si="14"/>
        <v>0.68468481249327984</v>
      </c>
      <c r="AM38" s="1128">
        <f t="shared" si="14"/>
        <v>0.99881439266283656</v>
      </c>
      <c r="AN38" s="1128">
        <f t="shared" si="14"/>
        <v>0</v>
      </c>
      <c r="AO38" s="1128">
        <f t="shared" si="14"/>
        <v>0</v>
      </c>
      <c r="AP38" s="1338">
        <f t="shared" ref="AP38:AS38" si="62">SUM(AP39:AP40)</f>
        <v>6151523916.7743387</v>
      </c>
      <c r="AQ38" s="1338">
        <f t="shared" si="62"/>
        <v>581334848.13999999</v>
      </c>
      <c r="AR38" s="1338">
        <f t="shared" si="62"/>
        <v>0</v>
      </c>
      <c r="AS38" s="1338">
        <f t="shared" si="62"/>
        <v>0</v>
      </c>
      <c r="AT38" s="1128">
        <f t="shared" si="15"/>
        <v>0.613737397461114</v>
      </c>
      <c r="AU38" s="1128">
        <f t="shared" si="15"/>
        <v>8.9552575669665554E-2</v>
      </c>
      <c r="AV38" s="1128">
        <f t="shared" si="15"/>
        <v>0</v>
      </c>
      <c r="AW38" s="1128">
        <f t="shared" si="15"/>
        <v>0</v>
      </c>
      <c r="AX38" s="1338">
        <f t="shared" ref="AX38:BE38" si="63">SUM(AX39:AX40)</f>
        <v>711109869.1543169</v>
      </c>
      <c r="AY38" s="1338">
        <f t="shared" si="63"/>
        <v>5902516776.8599997</v>
      </c>
      <c r="AZ38" s="1338">
        <f t="shared" si="63"/>
        <v>0</v>
      </c>
      <c r="BA38" s="1338">
        <f t="shared" si="63"/>
        <v>0</v>
      </c>
      <c r="BB38" s="1338">
        <f t="shared" si="63"/>
        <v>0</v>
      </c>
      <c r="BC38" s="1338">
        <f t="shared" si="63"/>
        <v>0</v>
      </c>
      <c r="BD38" s="1338">
        <f t="shared" si="63"/>
        <v>0</v>
      </c>
      <c r="BE38" s="1338">
        <f t="shared" si="63"/>
        <v>0</v>
      </c>
      <c r="BF38" s="1121">
        <f t="shared" si="17"/>
        <v>0</v>
      </c>
      <c r="BG38" s="1121">
        <f t="shared" si="17"/>
        <v>0</v>
      </c>
      <c r="BH38" s="1121" t="e">
        <f t="shared" si="17"/>
        <v>#DIV/0!</v>
      </c>
      <c r="BI38" s="1121" t="e">
        <f t="shared" si="17"/>
        <v>#DIV/0!</v>
      </c>
      <c r="BJ38" s="1338">
        <f t="shared" si="7"/>
        <v>19506603420.992886</v>
      </c>
      <c r="BK38" s="1338">
        <f t="shared" si="8"/>
        <v>13346485410.928656</v>
      </c>
      <c r="BL38" s="1339">
        <f t="shared" si="9"/>
        <v>0.68420345269157679</v>
      </c>
      <c r="BM38" s="1338">
        <f t="shared" si="10"/>
        <v>6732858764.9143391</v>
      </c>
      <c r="BN38" s="1340">
        <f t="shared" si="11"/>
        <v>0.34515792522179839</v>
      </c>
      <c r="BO38" s="1341"/>
      <c r="BP38" s="1342"/>
      <c r="BQ38" s="1130"/>
      <c r="BR38" s="1131"/>
    </row>
    <row r="39" spans="1:70" ht="45" customHeight="1" thickBot="1">
      <c r="A39" s="1023" t="s">
        <v>2265</v>
      </c>
      <c r="B39" s="1024" t="s">
        <v>2266</v>
      </c>
      <c r="C39" s="1343" t="s">
        <v>2181</v>
      </c>
      <c r="D39" s="1275">
        <v>1</v>
      </c>
      <c r="E39" s="1276">
        <v>1</v>
      </c>
      <c r="F39" s="1276">
        <v>1</v>
      </c>
      <c r="G39" s="1277">
        <v>1</v>
      </c>
      <c r="H39" s="1344">
        <v>1</v>
      </c>
      <c r="I39" s="1280">
        <v>1</v>
      </c>
      <c r="J39" s="1030"/>
      <c r="K39" s="1030"/>
      <c r="L39" s="1030"/>
      <c r="M39" s="1031"/>
      <c r="N39" s="1031"/>
      <c r="O39" s="1031"/>
      <c r="P39" s="1036">
        <f t="shared" ref="P39:S40" si="64">IF((H39+L39)/D39&gt;=100%,100%,(H39+L39)/D39)</f>
        <v>1</v>
      </c>
      <c r="Q39" s="1036">
        <f t="shared" si="64"/>
        <v>1</v>
      </c>
      <c r="R39" s="1036">
        <f t="shared" si="64"/>
        <v>0</v>
      </c>
      <c r="S39" s="1036">
        <f t="shared" si="64"/>
        <v>0</v>
      </c>
      <c r="T39" s="1033" t="s">
        <v>2267</v>
      </c>
      <c r="U39" s="1034">
        <v>46022</v>
      </c>
      <c r="V39" s="1035">
        <f t="shared" ref="V39:V40" si="65">SUM(D39:G39)</f>
        <v>4</v>
      </c>
      <c r="W39" s="1035">
        <f t="shared" ref="W39:W40" si="66">SUM(H39:N39)</f>
        <v>2</v>
      </c>
      <c r="X39" s="1036">
        <f t="shared" ref="X39:X40" si="67">IF(W39/V39&gt;=100%,100%,W39/V39)</f>
        <v>0.5</v>
      </c>
      <c r="Y39" s="1037">
        <v>0.1</v>
      </c>
      <c r="Z39" s="1037">
        <v>0.1</v>
      </c>
      <c r="AA39" s="1037">
        <v>0.1</v>
      </c>
      <c r="AB39" s="1037">
        <v>0.1</v>
      </c>
      <c r="AC39" s="1037">
        <v>0.1</v>
      </c>
      <c r="AD39" s="1345">
        <f>200000000+(1474086677.11037/2)</f>
        <v>937043338.55518496</v>
      </c>
      <c r="AE39" s="1345">
        <v>267300000</v>
      </c>
      <c r="AF39" s="1345">
        <v>342000000</v>
      </c>
      <c r="AG39" s="1345">
        <v>400000000</v>
      </c>
      <c r="AH39" s="1137">
        <f>195622466+(946240144.38191/2)</f>
        <v>668742538.19095492</v>
      </c>
      <c r="AI39" s="1137">
        <v>260000720</v>
      </c>
      <c r="AJ39" s="1137"/>
      <c r="AK39" s="1137"/>
      <c r="AL39" s="1039">
        <f t="shared" si="14"/>
        <v>0.7136730081471796</v>
      </c>
      <c r="AM39" s="1039">
        <f t="shared" si="14"/>
        <v>0.97269255518144404</v>
      </c>
      <c r="AN39" s="1039">
        <f t="shared" si="14"/>
        <v>0</v>
      </c>
      <c r="AO39" s="1039">
        <f t="shared" si="14"/>
        <v>0</v>
      </c>
      <c r="AP39" s="1138">
        <f>184115227+(870284898.583877/2)</f>
        <v>619257676.29193854</v>
      </c>
      <c r="AQ39" s="1041">
        <v>243445724.5</v>
      </c>
      <c r="AR39" s="1346"/>
      <c r="AS39" s="1346"/>
      <c r="AT39" s="1043">
        <f t="shared" si="15"/>
        <v>0.66086343161754291</v>
      </c>
      <c r="AU39" s="1043">
        <f t="shared" si="15"/>
        <v>0.91075841563786009</v>
      </c>
      <c r="AV39" s="1043">
        <f t="shared" si="15"/>
        <v>0</v>
      </c>
      <c r="AW39" s="1043">
        <f t="shared" si="15"/>
        <v>0</v>
      </c>
      <c r="AX39" s="1044">
        <f t="shared" ref="AX39:BA40" si="68">+AH39-AP39</f>
        <v>49484861.89901638</v>
      </c>
      <c r="AY39" s="1044">
        <f t="shared" si="68"/>
        <v>16554995.5</v>
      </c>
      <c r="AZ39" s="1044">
        <f t="shared" si="68"/>
        <v>0</v>
      </c>
      <c r="BA39" s="1044">
        <f t="shared" si="68"/>
        <v>0</v>
      </c>
      <c r="BB39" s="1283"/>
      <c r="BC39" s="1283"/>
      <c r="BD39" s="1283"/>
      <c r="BE39" s="1283"/>
      <c r="BF39" s="1045">
        <f t="shared" si="17"/>
        <v>0</v>
      </c>
      <c r="BG39" s="1045">
        <f t="shared" si="17"/>
        <v>0</v>
      </c>
      <c r="BH39" s="1045" t="e">
        <f t="shared" si="17"/>
        <v>#DIV/0!</v>
      </c>
      <c r="BI39" s="1045" t="e">
        <f t="shared" si="17"/>
        <v>#DIV/0!</v>
      </c>
      <c r="BJ39" s="1283">
        <f t="shared" si="7"/>
        <v>1946343338.5551848</v>
      </c>
      <c r="BK39" s="1046">
        <f t="shared" si="8"/>
        <v>928743258.19095492</v>
      </c>
      <c r="BL39" s="1047">
        <f t="shared" si="9"/>
        <v>0.47717339474153736</v>
      </c>
      <c r="BM39" s="1046">
        <f t="shared" si="10"/>
        <v>862703400.79193854</v>
      </c>
      <c r="BN39" s="1048">
        <f t="shared" si="11"/>
        <v>0.44324317488215775</v>
      </c>
      <c r="BO39" s="1049" t="s">
        <v>2226</v>
      </c>
      <c r="BP39" s="1144" t="s">
        <v>2183</v>
      </c>
      <c r="BQ39" s="1347" t="s">
        <v>5</v>
      </c>
      <c r="BR39" s="1348" t="s">
        <v>596</v>
      </c>
    </row>
    <row r="40" spans="1:70" ht="40.5" customHeight="1" thickBot="1">
      <c r="A40" s="1094" t="s">
        <v>2268</v>
      </c>
      <c r="B40" s="1349" t="s">
        <v>2269</v>
      </c>
      <c r="C40" s="1152" t="s">
        <v>2181</v>
      </c>
      <c r="D40" s="1153">
        <v>1</v>
      </c>
      <c r="E40" s="1154">
        <v>1</v>
      </c>
      <c r="F40" s="1154">
        <v>1</v>
      </c>
      <c r="G40" s="1155">
        <v>1</v>
      </c>
      <c r="H40" s="1182">
        <v>2</v>
      </c>
      <c r="I40" s="1182">
        <v>1</v>
      </c>
      <c r="J40" s="1182"/>
      <c r="K40" s="1182"/>
      <c r="L40" s="1182"/>
      <c r="M40" s="1101"/>
      <c r="N40" s="1101"/>
      <c r="O40" s="1101"/>
      <c r="P40" s="1157">
        <f t="shared" si="64"/>
        <v>1</v>
      </c>
      <c r="Q40" s="1157">
        <f t="shared" si="64"/>
        <v>1</v>
      </c>
      <c r="R40" s="1157">
        <f t="shared" si="64"/>
        <v>0</v>
      </c>
      <c r="S40" s="1157">
        <f t="shared" si="64"/>
        <v>0</v>
      </c>
      <c r="T40" s="1350" t="s">
        <v>2270</v>
      </c>
      <c r="U40" s="1034">
        <v>46022</v>
      </c>
      <c r="V40" s="1035">
        <f t="shared" si="65"/>
        <v>4</v>
      </c>
      <c r="W40" s="1035">
        <f t="shared" si="66"/>
        <v>3</v>
      </c>
      <c r="X40" s="1157">
        <f t="shared" si="67"/>
        <v>0.75</v>
      </c>
      <c r="Y40" s="1104">
        <v>0.9</v>
      </c>
      <c r="Z40" s="1104">
        <v>0.9</v>
      </c>
      <c r="AA40" s="1104">
        <v>0.9</v>
      </c>
      <c r="AB40" s="1104">
        <v>0.9</v>
      </c>
      <c r="AC40" s="1104">
        <v>0.9</v>
      </c>
      <c r="AD40" s="1351">
        <f>1024416363+8061595667.4377</f>
        <v>9086012030.4377003</v>
      </c>
      <c r="AE40" s="1351">
        <v>6224248052</v>
      </c>
      <c r="AF40" s="1351">
        <v>950000000</v>
      </c>
      <c r="AG40" s="1351">
        <v>1300000000</v>
      </c>
      <c r="AH40" s="1106">
        <f>1019022248+5174868999.7377</f>
        <v>6193891247.7377005</v>
      </c>
      <c r="AI40" s="1106">
        <v>6223850905</v>
      </c>
      <c r="AJ40" s="1106"/>
      <c r="AK40" s="1106"/>
      <c r="AL40" s="1295">
        <f t="shared" si="14"/>
        <v>0.6816952505663062</v>
      </c>
      <c r="AM40" s="1295">
        <f t="shared" si="14"/>
        <v>0.99993619357765273</v>
      </c>
      <c r="AN40" s="1295">
        <f t="shared" si="14"/>
        <v>0</v>
      </c>
      <c r="AO40" s="1295">
        <f t="shared" si="14"/>
        <v>0</v>
      </c>
      <c r="AP40" s="1109">
        <f>772786980+4759479260.4824</f>
        <v>5532266240.4823999</v>
      </c>
      <c r="AQ40" s="1187">
        <v>337889123.63999999</v>
      </c>
      <c r="AR40" s="1188"/>
      <c r="AS40" s="1188"/>
      <c r="AT40" s="1189">
        <f t="shared" si="15"/>
        <v>0.60887727442464046</v>
      </c>
      <c r="AU40" s="1189">
        <f t="shared" si="15"/>
        <v>5.4285934753424248E-2</v>
      </c>
      <c r="AV40" s="1189">
        <f t="shared" si="15"/>
        <v>0</v>
      </c>
      <c r="AW40" s="1189">
        <f t="shared" si="15"/>
        <v>0</v>
      </c>
      <c r="AX40" s="1044">
        <f t="shared" si="68"/>
        <v>661625007.25530052</v>
      </c>
      <c r="AY40" s="1044">
        <f t="shared" si="68"/>
        <v>5885961781.3599997</v>
      </c>
      <c r="AZ40" s="1044">
        <f t="shared" si="68"/>
        <v>0</v>
      </c>
      <c r="BA40" s="1044">
        <f t="shared" si="68"/>
        <v>0</v>
      </c>
      <c r="BB40" s="1107"/>
      <c r="BC40" s="1107"/>
      <c r="BD40" s="1107"/>
      <c r="BE40" s="1107"/>
      <c r="BF40" s="1190">
        <f t="shared" si="17"/>
        <v>0</v>
      </c>
      <c r="BG40" s="1190">
        <f t="shared" si="17"/>
        <v>0</v>
      </c>
      <c r="BH40" s="1190" t="e">
        <f t="shared" si="17"/>
        <v>#DIV/0!</v>
      </c>
      <c r="BI40" s="1190" t="e">
        <f t="shared" si="17"/>
        <v>#DIV/0!</v>
      </c>
      <c r="BJ40" s="1107">
        <f t="shared" si="7"/>
        <v>17560260082.437698</v>
      </c>
      <c r="BK40" s="1110">
        <f t="shared" si="8"/>
        <v>12417742152.737701</v>
      </c>
      <c r="BL40" s="1111">
        <f t="shared" si="9"/>
        <v>0.70715024119471259</v>
      </c>
      <c r="BM40" s="1110">
        <f t="shared" si="10"/>
        <v>5870155364.1224003</v>
      </c>
      <c r="BN40" s="1112">
        <f t="shared" si="11"/>
        <v>0.33428635661229406</v>
      </c>
      <c r="BO40" s="1049" t="s">
        <v>2226</v>
      </c>
      <c r="BP40" s="1114" t="s">
        <v>2183</v>
      </c>
      <c r="BQ40" s="1352" t="s">
        <v>2193</v>
      </c>
      <c r="BR40" s="1353" t="s">
        <v>596</v>
      </c>
    </row>
    <row r="41" spans="1:70" ht="50.4" customHeight="1">
      <c r="A41" s="1354" t="s">
        <v>2271</v>
      </c>
      <c r="B41" s="1355"/>
      <c r="C41" s="1356"/>
      <c r="D41" s="1356"/>
      <c r="E41" s="1357"/>
      <c r="F41" s="1357"/>
      <c r="G41" s="1357"/>
      <c r="H41" s="1357"/>
      <c r="I41" s="1357"/>
      <c r="J41" s="1357"/>
      <c r="K41" s="1357"/>
      <c r="L41" s="1357"/>
      <c r="M41" s="1357"/>
      <c r="N41" s="1357"/>
      <c r="O41" s="1357"/>
      <c r="P41" s="1358">
        <f>+(P42*Z42)+(P58*Z58)</f>
        <v>0.97255737704918022</v>
      </c>
      <c r="Q41" s="1358">
        <f>+(Q42*AA42)+(Q58*AA58)</f>
        <v>0.90624999999999989</v>
      </c>
      <c r="R41" s="1358" t="e">
        <f>+(R42*AB42)+(R58*AB58)</f>
        <v>#DIV/0!</v>
      </c>
      <c r="S41" s="1358" t="e">
        <f>+(S42*AC42)+(S58*AC58)</f>
        <v>#DIV/0!</v>
      </c>
      <c r="T41" s="1359"/>
      <c r="U41" s="1360"/>
      <c r="V41" s="1361"/>
      <c r="W41" s="1361"/>
      <c r="X41" s="1362">
        <f>+(X42*Y42)+(X58*Y58)</f>
        <v>0.43145478602883158</v>
      </c>
      <c r="Y41" s="1363">
        <v>0.125</v>
      </c>
      <c r="Z41" s="1363">
        <f>+Y41</f>
        <v>0.125</v>
      </c>
      <c r="AA41" s="1363">
        <f>+Z41</f>
        <v>0.125</v>
      </c>
      <c r="AB41" s="1363">
        <f t="shared" ref="AB41:AC41" si="69">+AA41</f>
        <v>0.125</v>
      </c>
      <c r="AC41" s="1363">
        <f t="shared" si="69"/>
        <v>0.125</v>
      </c>
      <c r="AD41" s="1356">
        <f>+AD42+AD58</f>
        <v>10887530383</v>
      </c>
      <c r="AE41" s="1364">
        <f>+AE42+AE58</f>
        <v>16752572794.5</v>
      </c>
      <c r="AF41" s="1356">
        <f t="shared" ref="AF41:AK41" si="70">+AF42+AF58</f>
        <v>8692500000</v>
      </c>
      <c r="AG41" s="1356">
        <f t="shared" si="70"/>
        <v>7270000000</v>
      </c>
      <c r="AH41" s="1364">
        <f t="shared" si="70"/>
        <v>8997552750</v>
      </c>
      <c r="AI41" s="1364">
        <f t="shared" si="70"/>
        <v>15720078612</v>
      </c>
      <c r="AJ41" s="1364">
        <f t="shared" si="70"/>
        <v>0</v>
      </c>
      <c r="AK41" s="1364">
        <f t="shared" si="70"/>
        <v>0</v>
      </c>
      <c r="AL41" s="1358">
        <f t="shared" si="14"/>
        <v>0.8264089681943807</v>
      </c>
      <c r="AM41" s="1358">
        <f t="shared" si="14"/>
        <v>0.9383680229200988</v>
      </c>
      <c r="AN41" s="1358">
        <f t="shared" si="14"/>
        <v>0</v>
      </c>
      <c r="AO41" s="1358">
        <f t="shared" si="14"/>
        <v>0</v>
      </c>
      <c r="AP41" s="1364">
        <f t="shared" ref="AP41:AS41" si="71">+AP42+AP58</f>
        <v>7563827878.6300001</v>
      </c>
      <c r="AQ41" s="1364">
        <f t="shared" si="71"/>
        <v>13056430692.199999</v>
      </c>
      <c r="AR41" s="1356">
        <f t="shared" si="71"/>
        <v>0</v>
      </c>
      <c r="AS41" s="1356">
        <f t="shared" si="71"/>
        <v>0</v>
      </c>
      <c r="AT41" s="1358">
        <f t="shared" si="15"/>
        <v>0.69472392843470787</v>
      </c>
      <c r="AU41" s="1358">
        <f t="shared" si="15"/>
        <v>0.77936868875964693</v>
      </c>
      <c r="AV41" s="1358">
        <f t="shared" si="15"/>
        <v>0</v>
      </c>
      <c r="AW41" s="1358">
        <f t="shared" si="15"/>
        <v>0</v>
      </c>
      <c r="AX41" s="1356">
        <f t="shared" ref="AX41:BE41" si="72">+AX42+AX58</f>
        <v>1433724871.3699992</v>
      </c>
      <c r="AY41" s="1356">
        <f t="shared" si="72"/>
        <v>2663647919.7999997</v>
      </c>
      <c r="AZ41" s="1356">
        <f t="shared" si="72"/>
        <v>0</v>
      </c>
      <c r="BA41" s="1356">
        <f t="shared" si="72"/>
        <v>0</v>
      </c>
      <c r="BB41" s="1356">
        <f t="shared" si="72"/>
        <v>0</v>
      </c>
      <c r="BC41" s="1356">
        <f t="shared" si="72"/>
        <v>0</v>
      </c>
      <c r="BD41" s="1356">
        <f t="shared" si="72"/>
        <v>0</v>
      </c>
      <c r="BE41" s="1356">
        <f t="shared" si="72"/>
        <v>0</v>
      </c>
      <c r="BF41" s="1363">
        <f t="shared" si="17"/>
        <v>0</v>
      </c>
      <c r="BG41" s="1363">
        <f t="shared" si="17"/>
        <v>0</v>
      </c>
      <c r="BH41" s="1363" t="e">
        <f t="shared" si="17"/>
        <v>#DIV/0!</v>
      </c>
      <c r="BI41" s="1363" t="e">
        <f t="shared" si="17"/>
        <v>#DIV/0!</v>
      </c>
      <c r="BJ41" s="1356">
        <f t="shared" si="7"/>
        <v>43602603177.5</v>
      </c>
      <c r="BK41" s="1364">
        <f t="shared" si="8"/>
        <v>24717631362</v>
      </c>
      <c r="BL41" s="1365">
        <f t="shared" si="9"/>
        <v>0.56688430416363067</v>
      </c>
      <c r="BM41" s="1364">
        <f t="shared" si="10"/>
        <v>20620258570.829998</v>
      </c>
      <c r="BN41" s="1366">
        <f t="shared" si="11"/>
        <v>0.47291347461269356</v>
      </c>
      <c r="BO41" s="1356"/>
      <c r="BP41" s="1367"/>
      <c r="BQ41" s="1368"/>
      <c r="BR41" s="1369"/>
    </row>
    <row r="42" spans="1:70" ht="55.05" customHeight="1">
      <c r="A42" s="1370" t="s">
        <v>2272</v>
      </c>
      <c r="B42" s="1370"/>
      <c r="C42" s="1371"/>
      <c r="D42" s="1371"/>
      <c r="E42" s="1372"/>
      <c r="F42" s="1372"/>
      <c r="G42" s="1373"/>
      <c r="H42" s="1372"/>
      <c r="I42" s="1372"/>
      <c r="J42" s="1373"/>
      <c r="K42" s="1372"/>
      <c r="L42" s="1372"/>
      <c r="M42" s="1373"/>
      <c r="N42" s="1373"/>
      <c r="O42" s="1373"/>
      <c r="P42" s="1374">
        <f>+(P43*Z43)+(P51*Z51)+(P53*Z53)</f>
        <v>0.99999999999999989</v>
      </c>
      <c r="Q42" s="1374">
        <f>+(Q43*AA43)+(Q51*AA51)+(Q53*AA53)</f>
        <v>0.89999999999999991</v>
      </c>
      <c r="R42" s="1375" t="e">
        <f>+(R43*AB43)+(R51*AB51)+(R53*AB53)</f>
        <v>#DIV/0!</v>
      </c>
      <c r="S42" s="1375" t="e">
        <f>+(S43*AC43)+(S51*AC51)+(S53*AC53)</f>
        <v>#DIV/0!</v>
      </c>
      <c r="T42" s="1376"/>
      <c r="U42" s="1377"/>
      <c r="V42" s="1378"/>
      <c r="W42" s="1378"/>
      <c r="X42" s="1374">
        <f>+(X43*Y43)+(X51*Y51)+(X53*Y53)</f>
        <v>0.40024999999999999</v>
      </c>
      <c r="Y42" s="1379">
        <v>0.5</v>
      </c>
      <c r="Z42" s="1379">
        <v>0.5</v>
      </c>
      <c r="AA42" s="1379">
        <v>0.5</v>
      </c>
      <c r="AB42" s="1379">
        <v>0.5</v>
      </c>
      <c r="AC42" s="1379">
        <v>0.5</v>
      </c>
      <c r="AD42" s="1380">
        <f>+AD43+AD51+AD53</f>
        <v>1714414654.4219179</v>
      </c>
      <c r="AE42" s="1380">
        <f>+AE43+AE51+AE53</f>
        <v>5747920951.5</v>
      </c>
      <c r="AF42" s="1380">
        <f t="shared" ref="AF42:AG42" si="73">+AF43+AF51+AF53</f>
        <v>4655000000</v>
      </c>
      <c r="AG42" s="1380">
        <f t="shared" si="73"/>
        <v>2950000000</v>
      </c>
      <c r="AH42" s="1380">
        <f>+AH43+AH51+AH53</f>
        <v>1714367974.4219179</v>
      </c>
      <c r="AI42" s="1380">
        <f t="shared" ref="AI42:AK42" si="74">+AI43+AI51+AI53</f>
        <v>5747920951</v>
      </c>
      <c r="AJ42" s="1380">
        <f t="shared" si="74"/>
        <v>0</v>
      </c>
      <c r="AK42" s="1380">
        <f t="shared" si="74"/>
        <v>0</v>
      </c>
      <c r="AL42" s="1381">
        <f t="shared" si="14"/>
        <v>0.99997277204795254</v>
      </c>
      <c r="AM42" s="1381">
        <f t="shared" si="14"/>
        <v>0.99999999991301203</v>
      </c>
      <c r="AN42" s="1381">
        <f t="shared" si="14"/>
        <v>0</v>
      </c>
      <c r="AO42" s="1381">
        <f t="shared" si="14"/>
        <v>0</v>
      </c>
      <c r="AP42" s="1380">
        <f t="shared" ref="AP42:AS42" si="75">+AP43+AP51+AP53</f>
        <v>1322627813.0894251</v>
      </c>
      <c r="AQ42" s="1380">
        <f t="shared" si="75"/>
        <v>4017778437.0599999</v>
      </c>
      <c r="AR42" s="1380">
        <f t="shared" si="75"/>
        <v>0</v>
      </c>
      <c r="AS42" s="1380">
        <f t="shared" si="75"/>
        <v>0</v>
      </c>
      <c r="AT42" s="1381">
        <f t="shared" si="15"/>
        <v>0.7714748644256082</v>
      </c>
      <c r="AU42" s="1381">
        <f t="shared" si="15"/>
        <v>0.69899681484163501</v>
      </c>
      <c r="AV42" s="1381">
        <f t="shared" si="15"/>
        <v>0</v>
      </c>
      <c r="AW42" s="1381">
        <f t="shared" si="15"/>
        <v>0</v>
      </c>
      <c r="AX42" s="1380">
        <f t="shared" ref="AX42:BE42" si="76">+AX43+AX51+AX53</f>
        <v>391740161.33249301</v>
      </c>
      <c r="AY42" s="1380">
        <f t="shared" si="76"/>
        <v>1730142513.9400001</v>
      </c>
      <c r="AZ42" s="1380">
        <f t="shared" si="76"/>
        <v>0</v>
      </c>
      <c r="BA42" s="1380">
        <f t="shared" si="76"/>
        <v>0</v>
      </c>
      <c r="BB42" s="1380">
        <f t="shared" si="76"/>
        <v>0</v>
      </c>
      <c r="BC42" s="1380">
        <f t="shared" si="76"/>
        <v>0</v>
      </c>
      <c r="BD42" s="1380">
        <f t="shared" si="76"/>
        <v>0</v>
      </c>
      <c r="BE42" s="1380">
        <f t="shared" si="76"/>
        <v>0</v>
      </c>
      <c r="BF42" s="1382">
        <f t="shared" si="17"/>
        <v>0</v>
      </c>
      <c r="BG42" s="1382">
        <f t="shared" si="17"/>
        <v>0</v>
      </c>
      <c r="BH42" s="1382" t="e">
        <f t="shared" si="17"/>
        <v>#DIV/0!</v>
      </c>
      <c r="BI42" s="1382" t="e">
        <f t="shared" si="17"/>
        <v>#DIV/0!</v>
      </c>
      <c r="BJ42" s="1380">
        <f t="shared" si="7"/>
        <v>15067335605.921917</v>
      </c>
      <c r="BK42" s="1383">
        <f t="shared" si="8"/>
        <v>7462288925.4219179</v>
      </c>
      <c r="BL42" s="1384">
        <f t="shared" si="9"/>
        <v>0.49526267421089454</v>
      </c>
      <c r="BM42" s="1383">
        <f t="shared" si="10"/>
        <v>5340406250.1494255</v>
      </c>
      <c r="BN42" s="1385">
        <f t="shared" si="11"/>
        <v>0.35443600579590762</v>
      </c>
      <c r="BO42" s="1380"/>
      <c r="BP42" s="1386"/>
      <c r="BQ42" s="1387"/>
      <c r="BR42" s="1388"/>
    </row>
    <row r="43" spans="1:70" ht="15.75" customHeight="1" thickBot="1">
      <c r="A43" s="1389" t="s">
        <v>2273</v>
      </c>
      <c r="B43" s="1389"/>
      <c r="C43" s="1390"/>
      <c r="D43" s="1390"/>
      <c r="E43" s="1391"/>
      <c r="F43" s="1391"/>
      <c r="G43" s="1391"/>
      <c r="H43" s="1391"/>
      <c r="I43" s="1391"/>
      <c r="J43" s="1391"/>
      <c r="K43" s="1391"/>
      <c r="L43" s="1391"/>
      <c r="M43" s="1391"/>
      <c r="N43" s="1391"/>
      <c r="O43" s="1391"/>
      <c r="P43" s="1392">
        <f>+SUMPRODUCT(P44:P50,Z44:Z50)</f>
        <v>0.99999999999999989</v>
      </c>
      <c r="Q43" s="1393">
        <f>+SUMPRODUCT(Q44:Q50,AA44:AA50)</f>
        <v>1</v>
      </c>
      <c r="R43" s="1394" t="e">
        <f>+SUMPRODUCT(R44:R50,AB44:AB50)</f>
        <v>#DIV/0!</v>
      </c>
      <c r="S43" s="1394" t="e">
        <f>+SUMPRODUCT(S44:S50,AC44:AC50)</f>
        <v>#DIV/0!</v>
      </c>
      <c r="T43" s="1395"/>
      <c r="U43" s="1389"/>
      <c r="V43" s="1396"/>
      <c r="W43" s="1396"/>
      <c r="X43" s="1397">
        <f>+SUMPRODUCT(X44:X50,Y44:Y50)</f>
        <v>0.41708333333333331</v>
      </c>
      <c r="Y43" s="1393">
        <v>0.6</v>
      </c>
      <c r="Z43" s="1393">
        <v>0.65</v>
      </c>
      <c r="AA43" s="1393">
        <v>0.6</v>
      </c>
      <c r="AB43" s="1393">
        <v>0.6</v>
      </c>
      <c r="AC43" s="1393">
        <v>0.6</v>
      </c>
      <c r="AD43" s="1396">
        <f>SUM(AD44:AD50)</f>
        <v>908550474.41369903</v>
      </c>
      <c r="AE43" s="1396">
        <f>SUM(AE44:AE50)</f>
        <v>2974120951.5</v>
      </c>
      <c r="AF43" s="1396">
        <f t="shared" ref="AF43:AG43" si="77">SUM(AF44:AF50)</f>
        <v>2935500000</v>
      </c>
      <c r="AG43" s="1396">
        <f t="shared" si="77"/>
        <v>1900000000</v>
      </c>
      <c r="AH43" s="1396">
        <f>SUM(AH44:AH50)</f>
        <v>908503794.41369903</v>
      </c>
      <c r="AI43" s="1396">
        <f t="shared" ref="AI43:AK43" si="78">SUM(AI44:AI50)</f>
        <v>2974120951</v>
      </c>
      <c r="AJ43" s="1396">
        <f t="shared" si="78"/>
        <v>0</v>
      </c>
      <c r="AK43" s="1396">
        <f t="shared" si="78"/>
        <v>0</v>
      </c>
      <c r="AL43" s="1398">
        <f t="shared" si="14"/>
        <v>0.99994862145657881</v>
      </c>
      <c r="AM43" s="1398">
        <f t="shared" si="14"/>
        <v>0.99999999983188315</v>
      </c>
      <c r="AN43" s="1398">
        <f t="shared" si="14"/>
        <v>0</v>
      </c>
      <c r="AO43" s="1398">
        <f t="shared" si="14"/>
        <v>0</v>
      </c>
      <c r="AP43" s="1396">
        <f>SUM(AP44:AP50)</f>
        <v>699344361.40155697</v>
      </c>
      <c r="AQ43" s="1399">
        <f t="shared" ref="AQ43:AS43" si="79">SUM(AQ44:AQ50)</f>
        <v>2102956916.1900001</v>
      </c>
      <c r="AR43" s="1399">
        <f t="shared" si="79"/>
        <v>0</v>
      </c>
      <c r="AS43" s="1399">
        <f t="shared" si="79"/>
        <v>0</v>
      </c>
      <c r="AT43" s="1400">
        <f t="shared" si="15"/>
        <v>0.76973638900233265</v>
      </c>
      <c r="AU43" s="1400">
        <f t="shared" si="15"/>
        <v>0.70708520281576726</v>
      </c>
      <c r="AV43" s="1400">
        <f t="shared" si="15"/>
        <v>0</v>
      </c>
      <c r="AW43" s="1400">
        <f t="shared" si="15"/>
        <v>0</v>
      </c>
      <c r="AX43" s="1396">
        <f t="shared" ref="AX43:BE43" si="80">SUM(AX44:AX50)</f>
        <v>209159433.012142</v>
      </c>
      <c r="AY43" s="1396">
        <f t="shared" si="80"/>
        <v>871164034.81000018</v>
      </c>
      <c r="AZ43" s="1396">
        <f t="shared" si="80"/>
        <v>0</v>
      </c>
      <c r="BA43" s="1396">
        <f t="shared" si="80"/>
        <v>0</v>
      </c>
      <c r="BB43" s="1396">
        <f t="shared" si="80"/>
        <v>0</v>
      </c>
      <c r="BC43" s="1396">
        <f t="shared" si="80"/>
        <v>0</v>
      </c>
      <c r="BD43" s="1396">
        <f t="shared" si="80"/>
        <v>0</v>
      </c>
      <c r="BE43" s="1396">
        <f t="shared" si="80"/>
        <v>0</v>
      </c>
      <c r="BF43" s="1393">
        <f t="shared" si="17"/>
        <v>0</v>
      </c>
      <c r="BG43" s="1393">
        <f t="shared" si="17"/>
        <v>0</v>
      </c>
      <c r="BH43" s="1393" t="e">
        <f t="shared" si="17"/>
        <v>#DIV/0!</v>
      </c>
      <c r="BI43" s="1393" t="e">
        <f t="shared" si="17"/>
        <v>#DIV/0!</v>
      </c>
      <c r="BJ43" s="1396">
        <f t="shared" si="7"/>
        <v>8718171425.9137001</v>
      </c>
      <c r="BK43" s="1401">
        <f t="shared" si="8"/>
        <v>3882624745.4136992</v>
      </c>
      <c r="BL43" s="1393">
        <f t="shared" si="9"/>
        <v>0.44534852043320361</v>
      </c>
      <c r="BM43" s="1401">
        <f t="shared" si="10"/>
        <v>2802301277.591557</v>
      </c>
      <c r="BN43" s="1400">
        <f t="shared" si="11"/>
        <v>0.32143222938494403</v>
      </c>
      <c r="BO43" s="1390"/>
      <c r="BP43" s="1402"/>
      <c r="BQ43" s="1403"/>
      <c r="BR43" s="1404"/>
    </row>
    <row r="44" spans="1:70" ht="55.8" customHeight="1" thickBot="1">
      <c r="A44" s="1023" t="s">
        <v>2274</v>
      </c>
      <c r="B44" s="1405" t="s">
        <v>2275</v>
      </c>
      <c r="C44" s="1025" t="s">
        <v>2276</v>
      </c>
      <c r="D44" s="1406">
        <v>0</v>
      </c>
      <c r="E44" s="1407">
        <v>40</v>
      </c>
      <c r="F44" s="1407">
        <v>40</v>
      </c>
      <c r="G44" s="1407">
        <v>40</v>
      </c>
      <c r="H44" s="1408"/>
      <c r="I44" s="1030">
        <v>40</v>
      </c>
      <c r="J44" s="1030"/>
      <c r="K44" s="1030"/>
      <c r="L44" s="1030"/>
      <c r="M44" s="1031"/>
      <c r="N44" s="1031"/>
      <c r="O44" s="1031"/>
      <c r="P44" s="1032"/>
      <c r="Q44" s="1032">
        <f t="shared" ref="Q44:S50" si="81">IF((I44+M44)/E44&gt;=100%,100%,(I44+M44)/E44)</f>
        <v>1</v>
      </c>
      <c r="R44" s="1032">
        <f t="shared" si="81"/>
        <v>0</v>
      </c>
      <c r="S44" s="1032">
        <f t="shared" si="81"/>
        <v>0</v>
      </c>
      <c r="T44" s="1136" t="s">
        <v>2277</v>
      </c>
      <c r="U44" s="1034">
        <v>46022</v>
      </c>
      <c r="V44" s="1035">
        <f t="shared" ref="V44:V50" si="82">SUM(D44:G44)</f>
        <v>120</v>
      </c>
      <c r="W44" s="1035">
        <f t="shared" ref="W44:W50" si="83">SUM(H44:N44)</f>
        <v>40</v>
      </c>
      <c r="X44" s="1036">
        <f>IF(W44/V44&gt;=100%,100%,W44/V44)</f>
        <v>0.33333333333333331</v>
      </c>
      <c r="Y44" s="1037">
        <v>0.17499999999999999</v>
      </c>
      <c r="Z44" s="1037">
        <v>0</v>
      </c>
      <c r="AA44" s="1037">
        <v>0.20499999999999999</v>
      </c>
      <c r="AB44" s="1037">
        <v>0.20499999999999999</v>
      </c>
      <c r="AC44" s="1037">
        <v>0.20499999999999999</v>
      </c>
      <c r="AD44" s="1137"/>
      <c r="AE44" s="1137">
        <f>1736620951.5/2</f>
        <v>868310475.75</v>
      </c>
      <c r="AF44" s="1137">
        <v>598500000</v>
      </c>
      <c r="AG44" s="1137">
        <v>0</v>
      </c>
      <c r="AH44" s="1137"/>
      <c r="AI44" s="1137">
        <f>1736620951/2</f>
        <v>868310475.5</v>
      </c>
      <c r="AJ44" s="1137"/>
      <c r="AK44" s="1137"/>
      <c r="AL44" s="1112" t="e">
        <f t="shared" si="14"/>
        <v>#DIV/0!</v>
      </c>
      <c r="AM44" s="1112">
        <f t="shared" si="14"/>
        <v>0.99999999971208453</v>
      </c>
      <c r="AN44" s="1112">
        <f t="shared" si="14"/>
        <v>0</v>
      </c>
      <c r="AO44" s="1112" t="e">
        <f t="shared" si="14"/>
        <v>#DIV/0!</v>
      </c>
      <c r="AP44" s="1283"/>
      <c r="AQ44" s="1041">
        <f>1378576665.33/2</f>
        <v>689288332.66499996</v>
      </c>
      <c r="AR44" s="1042"/>
      <c r="AS44" s="1042"/>
      <c r="AT44" s="1140" t="e">
        <f t="shared" si="15"/>
        <v>#DIV/0!</v>
      </c>
      <c r="AU44" s="1140">
        <f t="shared" si="15"/>
        <v>0.79382703758080275</v>
      </c>
      <c r="AV44" s="1140">
        <f t="shared" si="15"/>
        <v>0</v>
      </c>
      <c r="AW44" s="1140" t="e">
        <f t="shared" si="15"/>
        <v>#DIV/0!</v>
      </c>
      <c r="AX44" s="1044">
        <f t="shared" ref="AX44:BA50" si="84">+AH44-AP44</f>
        <v>0</v>
      </c>
      <c r="AY44" s="1044">
        <f t="shared" si="84"/>
        <v>179022142.83500004</v>
      </c>
      <c r="AZ44" s="1044">
        <f t="shared" si="84"/>
        <v>0</v>
      </c>
      <c r="BA44" s="1044">
        <f t="shared" si="84"/>
        <v>0</v>
      </c>
      <c r="BB44" s="1283"/>
      <c r="BC44" s="1283"/>
      <c r="BD44" s="1283"/>
      <c r="BE44" s="1283"/>
      <c r="BF44" s="1045" t="e">
        <f t="shared" si="17"/>
        <v>#DIV/0!</v>
      </c>
      <c r="BG44" s="1045">
        <f t="shared" si="17"/>
        <v>0</v>
      </c>
      <c r="BH44" s="1045" t="e">
        <f t="shared" si="17"/>
        <v>#DIV/0!</v>
      </c>
      <c r="BI44" s="1045" t="e">
        <f t="shared" si="17"/>
        <v>#DIV/0!</v>
      </c>
      <c r="BJ44" s="1283">
        <f t="shared" si="7"/>
        <v>1466810475.75</v>
      </c>
      <c r="BK44" s="1046">
        <f t="shared" si="8"/>
        <v>868310475.5</v>
      </c>
      <c r="BL44" s="1047">
        <f t="shared" si="9"/>
        <v>0.59197182584615859</v>
      </c>
      <c r="BM44" s="1046">
        <f t="shared" si="10"/>
        <v>689288332.66499996</v>
      </c>
      <c r="BN44" s="1048">
        <f t="shared" si="11"/>
        <v>0.4699232409780531</v>
      </c>
      <c r="BO44" s="1049"/>
      <c r="BP44" s="1409" t="s">
        <v>2278</v>
      </c>
      <c r="BQ44" s="1410" t="s">
        <v>2279</v>
      </c>
      <c r="BR44" s="1411" t="s">
        <v>2280</v>
      </c>
    </row>
    <row r="45" spans="1:70" ht="78.75" customHeight="1" thickBot="1">
      <c r="A45" s="1297" t="s">
        <v>2281</v>
      </c>
      <c r="B45" s="1412" t="s">
        <v>2282</v>
      </c>
      <c r="C45" s="1055" t="s">
        <v>2181</v>
      </c>
      <c r="D45" s="1413">
        <v>1</v>
      </c>
      <c r="E45" s="1414">
        <v>1</v>
      </c>
      <c r="F45" s="1414">
        <v>1</v>
      </c>
      <c r="G45" s="1415">
        <v>1</v>
      </c>
      <c r="H45" s="1416">
        <v>1</v>
      </c>
      <c r="I45" s="1414">
        <v>1</v>
      </c>
      <c r="J45" s="1327"/>
      <c r="K45" s="1327"/>
      <c r="L45" s="1060"/>
      <c r="M45" s="1061"/>
      <c r="N45" s="1061"/>
      <c r="O45" s="1061"/>
      <c r="P45" s="1062">
        <f t="shared" ref="P45:P48" si="85">IF((H45+L45)/D45&gt;=100%,100%,(H45+L45)/D45)</f>
        <v>1</v>
      </c>
      <c r="Q45" s="1062">
        <f t="shared" si="81"/>
        <v>1</v>
      </c>
      <c r="R45" s="1062">
        <f t="shared" si="81"/>
        <v>0</v>
      </c>
      <c r="S45" s="1062">
        <f t="shared" si="81"/>
        <v>0</v>
      </c>
      <c r="T45" s="1417" t="s">
        <v>2283</v>
      </c>
      <c r="U45" s="1034">
        <v>46022</v>
      </c>
      <c r="V45" s="1035">
        <f t="shared" si="82"/>
        <v>4</v>
      </c>
      <c r="W45" s="1035">
        <f t="shared" si="83"/>
        <v>2</v>
      </c>
      <c r="X45" s="1064">
        <f t="shared" ref="X45:X50" si="86">IF(W45/V45&gt;=100%,100%,W45/V45)</f>
        <v>0.5</v>
      </c>
      <c r="Y45" s="1065">
        <v>0.17499999999999999</v>
      </c>
      <c r="Z45" s="1065">
        <v>0.35</v>
      </c>
      <c r="AA45" s="1065">
        <v>0.20499999999999999</v>
      </c>
      <c r="AB45" s="1065">
        <v>0.20499999999999999</v>
      </c>
      <c r="AC45" s="1065">
        <v>0.20499999999999999</v>
      </c>
      <c r="AD45" s="1418">
        <f>0+196300474.413699</f>
        <v>196300474.413699</v>
      </c>
      <c r="AE45" s="1137">
        <f>1736620951.5/2</f>
        <v>868310475.75</v>
      </c>
      <c r="AF45" s="1137">
        <v>598500000</v>
      </c>
      <c r="AG45" s="1137"/>
      <c r="AH45" s="1066">
        <f>0+196300474.413699</f>
        <v>196300474.413699</v>
      </c>
      <c r="AI45" s="1137">
        <f>1736620951/2</f>
        <v>868310475.5</v>
      </c>
      <c r="AJ45" s="1137"/>
      <c r="AK45" s="1137"/>
      <c r="AL45" s="1074">
        <f t="shared" si="14"/>
        <v>1</v>
      </c>
      <c r="AM45" s="1074">
        <f t="shared" si="14"/>
        <v>0.99999999971208453</v>
      </c>
      <c r="AN45" s="1074">
        <f t="shared" si="14"/>
        <v>0</v>
      </c>
      <c r="AO45" s="1074" t="e">
        <f t="shared" si="14"/>
        <v>#DIV/0!</v>
      </c>
      <c r="AP45" s="1070">
        <f>0+176985230.401557</f>
        <v>176985230.401557</v>
      </c>
      <c r="AQ45" s="1041">
        <f>1378576665.33/2</f>
        <v>689288332.66499996</v>
      </c>
      <c r="AR45" s="1419"/>
      <c r="AS45" s="1069"/>
      <c r="AT45" s="1140">
        <f t="shared" si="15"/>
        <v>0.90160368144890191</v>
      </c>
      <c r="AU45" s="1140">
        <f t="shared" si="15"/>
        <v>0.79382703758080275</v>
      </c>
      <c r="AV45" s="1140">
        <f t="shared" si="15"/>
        <v>0</v>
      </c>
      <c r="AW45" s="1140" t="e">
        <f t="shared" si="15"/>
        <v>#DIV/0!</v>
      </c>
      <c r="AX45" s="1044">
        <f t="shared" si="84"/>
        <v>19315244.012142003</v>
      </c>
      <c r="AY45" s="1044">
        <f t="shared" si="84"/>
        <v>179022142.83500004</v>
      </c>
      <c r="AZ45" s="1044">
        <f t="shared" si="84"/>
        <v>0</v>
      </c>
      <c r="BA45" s="1044">
        <f t="shared" si="84"/>
        <v>0</v>
      </c>
      <c r="BB45" s="1070"/>
      <c r="BC45" s="1070"/>
      <c r="BD45" s="1070"/>
      <c r="BE45" s="1070"/>
      <c r="BF45" s="1071">
        <f t="shared" si="17"/>
        <v>0</v>
      </c>
      <c r="BG45" s="1071">
        <f t="shared" si="17"/>
        <v>0</v>
      </c>
      <c r="BH45" s="1071" t="e">
        <f t="shared" si="17"/>
        <v>#DIV/0!</v>
      </c>
      <c r="BI45" s="1071" t="e">
        <f t="shared" si="17"/>
        <v>#DIV/0!</v>
      </c>
      <c r="BJ45" s="1070">
        <f t="shared" si="7"/>
        <v>1663110950.1636992</v>
      </c>
      <c r="BK45" s="1072">
        <f t="shared" si="8"/>
        <v>1064610949.913699</v>
      </c>
      <c r="BL45" s="1073">
        <f t="shared" si="9"/>
        <v>0.6401322472255444</v>
      </c>
      <c r="BM45" s="1072">
        <f t="shared" si="10"/>
        <v>866273563.06655693</v>
      </c>
      <c r="BN45" s="1074">
        <f t="shared" si="11"/>
        <v>0.52087538896986407</v>
      </c>
      <c r="BO45" s="1075" t="s">
        <v>2284</v>
      </c>
      <c r="BP45" s="1321" t="s">
        <v>2278</v>
      </c>
      <c r="BQ45" s="1420" t="s">
        <v>2279</v>
      </c>
      <c r="BR45" s="1421" t="s">
        <v>2280</v>
      </c>
    </row>
    <row r="46" spans="1:70" ht="163.80000000000001" thickBot="1">
      <c r="A46" s="1422" t="s">
        <v>2285</v>
      </c>
      <c r="B46" s="1423" t="s">
        <v>2286</v>
      </c>
      <c r="C46" s="1055" t="s">
        <v>2276</v>
      </c>
      <c r="D46" s="1424">
        <v>0</v>
      </c>
      <c r="E46" s="1425">
        <v>20</v>
      </c>
      <c r="F46" s="1425">
        <v>20</v>
      </c>
      <c r="G46" s="1426">
        <v>20</v>
      </c>
      <c r="H46" s="1327"/>
      <c r="I46" s="1060">
        <v>20</v>
      </c>
      <c r="J46" s="1060"/>
      <c r="K46" s="1060"/>
      <c r="L46" s="1060"/>
      <c r="M46" s="1061"/>
      <c r="N46" s="1061"/>
      <c r="O46" s="1061"/>
      <c r="P46" s="1062"/>
      <c r="Q46" s="1062">
        <f t="shared" si="81"/>
        <v>1</v>
      </c>
      <c r="R46" s="1062">
        <f t="shared" si="81"/>
        <v>0</v>
      </c>
      <c r="S46" s="1062">
        <f t="shared" si="81"/>
        <v>0</v>
      </c>
      <c r="T46" s="1085" t="s">
        <v>2287</v>
      </c>
      <c r="U46" s="1034">
        <v>46022</v>
      </c>
      <c r="V46" s="1035">
        <f t="shared" si="82"/>
        <v>60</v>
      </c>
      <c r="W46" s="1035">
        <f t="shared" si="83"/>
        <v>20</v>
      </c>
      <c r="X46" s="1064">
        <f t="shared" si="86"/>
        <v>0.33333333333333331</v>
      </c>
      <c r="Y46" s="1065">
        <v>0.17249999999999999</v>
      </c>
      <c r="Z46" s="1065">
        <v>0</v>
      </c>
      <c r="AA46" s="1065">
        <v>0.21249999999999999</v>
      </c>
      <c r="AB46" s="1065">
        <v>0.21249999999999999</v>
      </c>
      <c r="AC46" s="1065">
        <v>0.21249999999999999</v>
      </c>
      <c r="AD46" s="1066"/>
      <c r="AE46" s="1066">
        <v>486000000</v>
      </c>
      <c r="AF46" s="1066">
        <v>598500000</v>
      </c>
      <c r="AG46" s="1066">
        <v>0</v>
      </c>
      <c r="AH46" s="1066"/>
      <c r="AI46" s="1066">
        <v>486000000</v>
      </c>
      <c r="AJ46" s="1066"/>
      <c r="AK46" s="1066"/>
      <c r="AL46" s="1112" t="e">
        <f t="shared" si="14"/>
        <v>#DIV/0!</v>
      </c>
      <c r="AM46" s="1112">
        <f t="shared" si="14"/>
        <v>1</v>
      </c>
      <c r="AN46" s="1112">
        <f t="shared" si="14"/>
        <v>0</v>
      </c>
      <c r="AO46" s="1112" t="e">
        <f t="shared" si="14"/>
        <v>#DIV/0!</v>
      </c>
      <c r="AP46" s="1070"/>
      <c r="AQ46" s="1068">
        <v>43722307.310000002</v>
      </c>
      <c r="AR46" s="1419"/>
      <c r="AS46" s="1069"/>
      <c r="AT46" s="1140" t="e">
        <f t="shared" si="15"/>
        <v>#DIV/0!</v>
      </c>
      <c r="AU46" s="1140">
        <f t="shared" si="15"/>
        <v>8.9963595288065842E-2</v>
      </c>
      <c r="AV46" s="1140">
        <f t="shared" si="15"/>
        <v>0</v>
      </c>
      <c r="AW46" s="1140" t="e">
        <f t="shared" si="15"/>
        <v>#DIV/0!</v>
      </c>
      <c r="AX46" s="1044">
        <f t="shared" si="84"/>
        <v>0</v>
      </c>
      <c r="AY46" s="1044">
        <f t="shared" si="84"/>
        <v>442277692.69</v>
      </c>
      <c r="AZ46" s="1044">
        <f t="shared" si="84"/>
        <v>0</v>
      </c>
      <c r="BA46" s="1044">
        <f t="shared" si="84"/>
        <v>0</v>
      </c>
      <c r="BB46" s="1070"/>
      <c r="BC46" s="1070"/>
      <c r="BD46" s="1070"/>
      <c r="BE46" s="1070"/>
      <c r="BF46" s="1071" t="e">
        <f t="shared" si="17"/>
        <v>#DIV/0!</v>
      </c>
      <c r="BG46" s="1071">
        <f t="shared" si="17"/>
        <v>0</v>
      </c>
      <c r="BH46" s="1071" t="e">
        <f t="shared" si="17"/>
        <v>#DIV/0!</v>
      </c>
      <c r="BI46" s="1071" t="e">
        <f t="shared" si="17"/>
        <v>#DIV/0!</v>
      </c>
      <c r="BJ46" s="1070">
        <f t="shared" si="7"/>
        <v>1084500000</v>
      </c>
      <c r="BK46" s="1072">
        <f t="shared" si="8"/>
        <v>486000000</v>
      </c>
      <c r="BL46" s="1073">
        <f t="shared" si="9"/>
        <v>0.44813278008298757</v>
      </c>
      <c r="BM46" s="1072">
        <f t="shared" si="10"/>
        <v>43722307.310000002</v>
      </c>
      <c r="BN46" s="1074">
        <f t="shared" si="11"/>
        <v>4.0315636062701707E-2</v>
      </c>
      <c r="BO46" s="1075"/>
      <c r="BP46" s="1321" t="s">
        <v>2278</v>
      </c>
      <c r="BQ46" s="1420" t="s">
        <v>2288</v>
      </c>
      <c r="BR46" s="1421" t="s">
        <v>2280</v>
      </c>
    </row>
    <row r="47" spans="1:70" ht="15.75" customHeight="1" thickBot="1">
      <c r="A47" s="1422" t="s">
        <v>598</v>
      </c>
      <c r="B47" s="1427" t="s">
        <v>2289</v>
      </c>
      <c r="C47" s="1055" t="s">
        <v>2181</v>
      </c>
      <c r="D47" s="1424">
        <v>1</v>
      </c>
      <c r="E47" s="1425">
        <v>0</v>
      </c>
      <c r="F47" s="1425">
        <v>0</v>
      </c>
      <c r="G47" s="1426">
        <v>1</v>
      </c>
      <c r="H47" s="1166">
        <v>1</v>
      </c>
      <c r="I47" s="1060"/>
      <c r="J47" s="1060"/>
      <c r="K47" s="1060"/>
      <c r="L47" s="1060"/>
      <c r="M47" s="1061"/>
      <c r="N47" s="1061"/>
      <c r="O47" s="1061"/>
      <c r="P47" s="1428">
        <f t="shared" si="85"/>
        <v>1</v>
      </c>
      <c r="Q47" s="1062"/>
      <c r="R47" s="1062" t="e">
        <f t="shared" si="81"/>
        <v>#DIV/0!</v>
      </c>
      <c r="S47" s="1062">
        <f t="shared" si="81"/>
        <v>0</v>
      </c>
      <c r="T47" s="1063"/>
      <c r="U47" s="1034">
        <v>46022</v>
      </c>
      <c r="V47" s="1035">
        <f t="shared" si="82"/>
        <v>2</v>
      </c>
      <c r="W47" s="1035">
        <f t="shared" si="83"/>
        <v>1</v>
      </c>
      <c r="X47" s="1064">
        <f t="shared" si="86"/>
        <v>0.5</v>
      </c>
      <c r="Y47" s="1065">
        <v>0.1275</v>
      </c>
      <c r="Z47" s="1065">
        <v>0.3</v>
      </c>
      <c r="AA47" s="1065">
        <v>0</v>
      </c>
      <c r="AB47" s="1065">
        <v>0</v>
      </c>
      <c r="AC47" s="1065">
        <v>0</v>
      </c>
      <c r="AD47" s="1066">
        <v>397250000</v>
      </c>
      <c r="AE47" s="1066"/>
      <c r="AF47" s="1066">
        <v>0</v>
      </c>
      <c r="AG47" s="1066">
        <v>700000000</v>
      </c>
      <c r="AH47" s="1066">
        <v>397250000</v>
      </c>
      <c r="AI47" s="1066"/>
      <c r="AJ47" s="1066"/>
      <c r="AK47" s="1066"/>
      <c r="AL47" s="1074">
        <f t="shared" si="14"/>
        <v>1</v>
      </c>
      <c r="AM47" s="1074" t="e">
        <f t="shared" si="14"/>
        <v>#DIV/0!</v>
      </c>
      <c r="AN47" s="1074" t="e">
        <f t="shared" si="14"/>
        <v>#DIV/0!</v>
      </c>
      <c r="AO47" s="1074">
        <f t="shared" si="14"/>
        <v>0</v>
      </c>
      <c r="AP47" s="1070">
        <v>300000000</v>
      </c>
      <c r="AQ47" s="1068"/>
      <c r="AR47" s="1419"/>
      <c r="AS47" s="1069"/>
      <c r="AT47" s="1140">
        <f t="shared" si="15"/>
        <v>0.75519194461925743</v>
      </c>
      <c r="AU47" s="1140" t="e">
        <f t="shared" si="15"/>
        <v>#DIV/0!</v>
      </c>
      <c r="AV47" s="1140" t="e">
        <f t="shared" si="15"/>
        <v>#DIV/0!</v>
      </c>
      <c r="AW47" s="1140">
        <f t="shared" si="15"/>
        <v>0</v>
      </c>
      <c r="AX47" s="1044">
        <f t="shared" si="84"/>
        <v>97250000</v>
      </c>
      <c r="AY47" s="1044">
        <f t="shared" si="84"/>
        <v>0</v>
      </c>
      <c r="AZ47" s="1044">
        <f t="shared" si="84"/>
        <v>0</v>
      </c>
      <c r="BA47" s="1044">
        <f t="shared" si="84"/>
        <v>0</v>
      </c>
      <c r="BB47" s="1070"/>
      <c r="BC47" s="1070"/>
      <c r="BD47" s="1070"/>
      <c r="BE47" s="1070"/>
      <c r="BF47" s="1071">
        <f t="shared" si="17"/>
        <v>0</v>
      </c>
      <c r="BG47" s="1071" t="e">
        <f t="shared" si="17"/>
        <v>#DIV/0!</v>
      </c>
      <c r="BH47" s="1071" t="e">
        <f t="shared" si="17"/>
        <v>#DIV/0!</v>
      </c>
      <c r="BI47" s="1071" t="e">
        <f t="shared" si="17"/>
        <v>#DIV/0!</v>
      </c>
      <c r="BJ47" s="1070">
        <f t="shared" si="7"/>
        <v>1097250000</v>
      </c>
      <c r="BK47" s="1072">
        <f t="shared" si="8"/>
        <v>397250000</v>
      </c>
      <c r="BL47" s="1073">
        <f t="shared" si="9"/>
        <v>0.36204146730462522</v>
      </c>
      <c r="BM47" s="1072">
        <f t="shared" si="10"/>
        <v>300000000</v>
      </c>
      <c r="BN47" s="1074">
        <f t="shared" si="11"/>
        <v>0.27341079972658922</v>
      </c>
      <c r="BO47" s="1075"/>
      <c r="BP47" s="1321" t="s">
        <v>2278</v>
      </c>
      <c r="BQ47" s="1420" t="s">
        <v>2290</v>
      </c>
      <c r="BR47" s="1421" t="s">
        <v>2280</v>
      </c>
    </row>
    <row r="48" spans="1:70" ht="15.75" customHeight="1" thickBot="1">
      <c r="A48" s="1422" t="s">
        <v>2291</v>
      </c>
      <c r="B48" s="1427" t="s">
        <v>2292</v>
      </c>
      <c r="C48" s="1055" t="s">
        <v>2181</v>
      </c>
      <c r="D48" s="1424">
        <v>1</v>
      </c>
      <c r="E48" s="1425">
        <v>1</v>
      </c>
      <c r="F48" s="1425">
        <v>1</v>
      </c>
      <c r="G48" s="1426">
        <v>1</v>
      </c>
      <c r="H48" s="1166">
        <v>1</v>
      </c>
      <c r="I48" s="1060">
        <v>1</v>
      </c>
      <c r="J48" s="1060"/>
      <c r="K48" s="1060"/>
      <c r="L48" s="1060"/>
      <c r="M48" s="1061"/>
      <c r="N48" s="1061"/>
      <c r="O48" s="1061"/>
      <c r="P48" s="1428">
        <f t="shared" si="85"/>
        <v>1</v>
      </c>
      <c r="Q48" s="1062">
        <f t="shared" si="81"/>
        <v>1</v>
      </c>
      <c r="R48" s="1062">
        <f t="shared" si="81"/>
        <v>0</v>
      </c>
      <c r="S48" s="1062">
        <f t="shared" si="81"/>
        <v>0</v>
      </c>
      <c r="T48" s="1417" t="s">
        <v>2293</v>
      </c>
      <c r="U48" s="1034">
        <v>46022</v>
      </c>
      <c r="V48" s="1035">
        <f t="shared" si="82"/>
        <v>4</v>
      </c>
      <c r="W48" s="1035">
        <f t="shared" si="83"/>
        <v>2</v>
      </c>
      <c r="X48" s="1036">
        <f t="shared" si="86"/>
        <v>0.5</v>
      </c>
      <c r="Y48" s="1065">
        <v>0.2</v>
      </c>
      <c r="Z48" s="1065">
        <v>0.35</v>
      </c>
      <c r="AA48" s="1065">
        <v>0.22750000000000001</v>
      </c>
      <c r="AB48" s="1065">
        <v>0.22750000000000001</v>
      </c>
      <c r="AC48" s="1065">
        <v>0.22750000000000001</v>
      </c>
      <c r="AD48" s="1066">
        <v>315000000</v>
      </c>
      <c r="AE48" s="1066">
        <v>427500000</v>
      </c>
      <c r="AF48" s="1066">
        <v>475000000</v>
      </c>
      <c r="AG48" s="1066">
        <v>500000000</v>
      </c>
      <c r="AH48" s="1066">
        <v>314953320</v>
      </c>
      <c r="AI48" s="1066">
        <v>427500000</v>
      </c>
      <c r="AJ48" s="1066"/>
      <c r="AK48" s="1066"/>
      <c r="AL48" s="1074">
        <f t="shared" si="14"/>
        <v>0.99985180952380948</v>
      </c>
      <c r="AM48" s="1074">
        <f t="shared" si="14"/>
        <v>1</v>
      </c>
      <c r="AN48" s="1074">
        <f t="shared" si="14"/>
        <v>0</v>
      </c>
      <c r="AO48" s="1074">
        <f t="shared" si="14"/>
        <v>0</v>
      </c>
      <c r="AP48" s="1070">
        <v>222359131</v>
      </c>
      <c r="AQ48" s="1068">
        <v>361575477.61000001</v>
      </c>
      <c r="AR48" s="1419">
        <f t="shared" ref="AR48:AS48" si="87">+AR49</f>
        <v>0</v>
      </c>
      <c r="AS48" s="1069">
        <f t="shared" si="87"/>
        <v>0</v>
      </c>
      <c r="AT48" s="1140">
        <f t="shared" si="15"/>
        <v>0.70590200317460317</v>
      </c>
      <c r="AU48" s="1140">
        <f t="shared" si="15"/>
        <v>0.84579059090058484</v>
      </c>
      <c r="AV48" s="1140">
        <f t="shared" si="15"/>
        <v>0</v>
      </c>
      <c r="AW48" s="1140">
        <f t="shared" si="15"/>
        <v>0</v>
      </c>
      <c r="AX48" s="1044">
        <f t="shared" si="84"/>
        <v>92594189</v>
      </c>
      <c r="AY48" s="1044">
        <f t="shared" si="84"/>
        <v>65924522.389999986</v>
      </c>
      <c r="AZ48" s="1044">
        <f t="shared" si="84"/>
        <v>0</v>
      </c>
      <c r="BA48" s="1044">
        <f t="shared" si="84"/>
        <v>0</v>
      </c>
      <c r="BB48" s="1070"/>
      <c r="BC48" s="1070"/>
      <c r="BD48" s="1070"/>
      <c r="BE48" s="1070"/>
      <c r="BF48" s="1071">
        <f t="shared" si="17"/>
        <v>0</v>
      </c>
      <c r="BG48" s="1071">
        <f t="shared" si="17"/>
        <v>0</v>
      </c>
      <c r="BH48" s="1071" t="e">
        <f t="shared" si="17"/>
        <v>#DIV/0!</v>
      </c>
      <c r="BI48" s="1071" t="e">
        <f t="shared" si="17"/>
        <v>#DIV/0!</v>
      </c>
      <c r="BJ48" s="1070">
        <f t="shared" si="7"/>
        <v>1717500000</v>
      </c>
      <c r="BK48" s="1072">
        <f t="shared" si="8"/>
        <v>742453320</v>
      </c>
      <c r="BL48" s="1073">
        <f t="shared" si="9"/>
        <v>0.43228723144104803</v>
      </c>
      <c r="BM48" s="1072">
        <f t="shared" si="10"/>
        <v>583934608.61000001</v>
      </c>
      <c r="BN48" s="1074">
        <f t="shared" si="11"/>
        <v>0.33999103849199419</v>
      </c>
      <c r="BO48" s="1075"/>
      <c r="BP48" s="1321" t="s">
        <v>2278</v>
      </c>
      <c r="BQ48" s="1420" t="s">
        <v>23</v>
      </c>
      <c r="BR48" s="1421" t="s">
        <v>2280</v>
      </c>
    </row>
    <row r="49" spans="1:70" ht="133.19999999999999" thickBot="1">
      <c r="A49" s="1422" t="s">
        <v>2294</v>
      </c>
      <c r="B49" s="1427" t="s">
        <v>2295</v>
      </c>
      <c r="C49" s="1055" t="s">
        <v>2181</v>
      </c>
      <c r="D49" s="1424">
        <v>0</v>
      </c>
      <c r="E49" s="1425">
        <v>1</v>
      </c>
      <c r="F49" s="1425">
        <v>0</v>
      </c>
      <c r="G49" s="1426">
        <v>0</v>
      </c>
      <c r="H49" s="1327"/>
      <c r="I49" s="1060">
        <v>1</v>
      </c>
      <c r="J49" s="1060"/>
      <c r="K49" s="1060"/>
      <c r="L49" s="1060"/>
      <c r="M49" s="1061"/>
      <c r="N49" s="1061"/>
      <c r="O49" s="1061"/>
      <c r="P49" s="1062"/>
      <c r="Q49" s="1062">
        <f t="shared" si="81"/>
        <v>1</v>
      </c>
      <c r="R49" s="1062" t="e">
        <f t="shared" si="81"/>
        <v>#DIV/0!</v>
      </c>
      <c r="S49" s="1062" t="e">
        <f t="shared" si="81"/>
        <v>#DIV/0!</v>
      </c>
      <c r="T49" s="1080" t="s">
        <v>2296</v>
      </c>
      <c r="U49" s="1034">
        <v>46022</v>
      </c>
      <c r="V49" s="1035">
        <f t="shared" si="82"/>
        <v>1</v>
      </c>
      <c r="W49" s="1035">
        <f t="shared" si="83"/>
        <v>1</v>
      </c>
      <c r="X49" s="1036">
        <f t="shared" si="86"/>
        <v>1</v>
      </c>
      <c r="Y49" s="1065">
        <v>0.05</v>
      </c>
      <c r="Z49" s="1065">
        <v>0</v>
      </c>
      <c r="AA49" s="1065">
        <v>0.15</v>
      </c>
      <c r="AB49" s="1065">
        <v>0.15</v>
      </c>
      <c r="AC49" s="1065">
        <v>0.15</v>
      </c>
      <c r="AD49" s="1066">
        <v>0</v>
      </c>
      <c r="AE49" s="1066">
        <v>324000000</v>
      </c>
      <c r="AF49" s="1066">
        <v>0</v>
      </c>
      <c r="AG49" s="1066">
        <v>0</v>
      </c>
      <c r="AH49" s="1066">
        <v>0</v>
      </c>
      <c r="AI49" s="1066">
        <v>324000000</v>
      </c>
      <c r="AJ49" s="1066"/>
      <c r="AK49" s="1066"/>
      <c r="AL49" s="1112" t="e">
        <f t="shared" si="14"/>
        <v>#DIV/0!</v>
      </c>
      <c r="AM49" s="1112">
        <f t="shared" si="14"/>
        <v>1</v>
      </c>
      <c r="AN49" s="1112" t="e">
        <f t="shared" si="14"/>
        <v>#DIV/0!</v>
      </c>
      <c r="AO49" s="1112" t="e">
        <f t="shared" si="14"/>
        <v>#DIV/0!</v>
      </c>
      <c r="AP49" s="1070">
        <v>0</v>
      </c>
      <c r="AQ49" s="1068">
        <v>319082465.94</v>
      </c>
      <c r="AR49" s="1419">
        <f t="shared" ref="AR49:AS49" si="88">+AR50+AR55</f>
        <v>0</v>
      </c>
      <c r="AS49" s="1069">
        <f t="shared" si="88"/>
        <v>0</v>
      </c>
      <c r="AT49" s="1140" t="e">
        <f t="shared" si="15"/>
        <v>#DIV/0!</v>
      </c>
      <c r="AU49" s="1140">
        <f t="shared" si="15"/>
        <v>0.98482242574074075</v>
      </c>
      <c r="AV49" s="1140" t="e">
        <f t="shared" si="15"/>
        <v>#DIV/0!</v>
      </c>
      <c r="AW49" s="1140" t="e">
        <f t="shared" si="15"/>
        <v>#DIV/0!</v>
      </c>
      <c r="AX49" s="1044">
        <f t="shared" si="84"/>
        <v>0</v>
      </c>
      <c r="AY49" s="1044">
        <f t="shared" si="84"/>
        <v>4917534.0600000024</v>
      </c>
      <c r="AZ49" s="1044">
        <f t="shared" si="84"/>
        <v>0</v>
      </c>
      <c r="BA49" s="1044">
        <f t="shared" si="84"/>
        <v>0</v>
      </c>
      <c r="BB49" s="1070"/>
      <c r="BC49" s="1070"/>
      <c r="BD49" s="1070"/>
      <c r="BE49" s="1070"/>
      <c r="BF49" s="1071" t="e">
        <f t="shared" si="17"/>
        <v>#DIV/0!</v>
      </c>
      <c r="BG49" s="1071">
        <f t="shared" si="17"/>
        <v>0</v>
      </c>
      <c r="BH49" s="1071" t="e">
        <f t="shared" si="17"/>
        <v>#DIV/0!</v>
      </c>
      <c r="BI49" s="1071" t="e">
        <f t="shared" si="17"/>
        <v>#DIV/0!</v>
      </c>
      <c r="BJ49" s="1070">
        <f t="shared" si="7"/>
        <v>324000000</v>
      </c>
      <c r="BK49" s="1072">
        <f t="shared" si="8"/>
        <v>324000000</v>
      </c>
      <c r="BL49" s="1073">
        <f t="shared" si="9"/>
        <v>1</v>
      </c>
      <c r="BM49" s="1072">
        <f t="shared" si="10"/>
        <v>319082465.94</v>
      </c>
      <c r="BN49" s="1074">
        <f t="shared" si="11"/>
        <v>0.98482242574074075</v>
      </c>
      <c r="BO49" s="1075"/>
      <c r="BP49" s="1321" t="s">
        <v>2278</v>
      </c>
      <c r="BQ49" s="1420" t="s">
        <v>2297</v>
      </c>
      <c r="BR49" s="1421" t="s">
        <v>2280</v>
      </c>
    </row>
    <row r="50" spans="1:70" ht="48.75" customHeight="1" thickBot="1">
      <c r="A50" s="1429" t="s">
        <v>2298</v>
      </c>
      <c r="B50" s="1430" t="s">
        <v>2299</v>
      </c>
      <c r="C50" s="1096" t="s">
        <v>597</v>
      </c>
      <c r="D50" s="1431">
        <v>0</v>
      </c>
      <c r="E50" s="1432">
        <v>0</v>
      </c>
      <c r="F50" s="1432">
        <v>0.25</v>
      </c>
      <c r="G50" s="1433">
        <v>0.25</v>
      </c>
      <c r="H50" s="1291"/>
      <c r="I50" s="1182"/>
      <c r="J50" s="1182"/>
      <c r="K50" s="1182"/>
      <c r="L50" s="1182"/>
      <c r="M50" s="1101"/>
      <c r="N50" s="1101"/>
      <c r="O50" s="1101"/>
      <c r="P50" s="1102"/>
      <c r="Q50" s="1102"/>
      <c r="R50" s="1102">
        <f t="shared" si="81"/>
        <v>0</v>
      </c>
      <c r="S50" s="1102">
        <f t="shared" si="81"/>
        <v>0</v>
      </c>
      <c r="T50" s="1080"/>
      <c r="U50" s="1034">
        <v>46022</v>
      </c>
      <c r="V50" s="1035">
        <f t="shared" si="82"/>
        <v>0.5</v>
      </c>
      <c r="W50" s="1035">
        <f t="shared" si="83"/>
        <v>0</v>
      </c>
      <c r="X50" s="1036">
        <f t="shared" si="86"/>
        <v>0</v>
      </c>
      <c r="Y50" s="1104">
        <v>0.1</v>
      </c>
      <c r="Z50" s="1104">
        <v>0</v>
      </c>
      <c r="AA50" s="1104">
        <v>0</v>
      </c>
      <c r="AB50" s="1104">
        <v>0</v>
      </c>
      <c r="AC50" s="1104">
        <v>0</v>
      </c>
      <c r="AD50" s="1106">
        <v>0</v>
      </c>
      <c r="AE50" s="1106">
        <v>0</v>
      </c>
      <c r="AF50" s="1106">
        <v>665000000</v>
      </c>
      <c r="AG50" s="1106">
        <v>700000000</v>
      </c>
      <c r="AH50" s="1106">
        <v>0</v>
      </c>
      <c r="AI50" s="1106"/>
      <c r="AJ50" s="1106"/>
      <c r="AK50" s="1106"/>
      <c r="AL50" s="1112" t="e">
        <f t="shared" si="14"/>
        <v>#DIV/0!</v>
      </c>
      <c r="AM50" s="1112" t="e">
        <f t="shared" si="14"/>
        <v>#DIV/0!</v>
      </c>
      <c r="AN50" s="1112">
        <f t="shared" si="14"/>
        <v>0</v>
      </c>
      <c r="AO50" s="1112">
        <f t="shared" si="14"/>
        <v>0</v>
      </c>
      <c r="AP50" s="1107">
        <v>0</v>
      </c>
      <c r="AQ50" s="1187"/>
      <c r="AR50" s="1434">
        <f t="shared" ref="AR50:AS50" si="89">SUM(AR51:AR54)</f>
        <v>0</v>
      </c>
      <c r="AS50" s="1188">
        <f t="shared" si="89"/>
        <v>0</v>
      </c>
      <c r="AT50" s="1140" t="e">
        <f t="shared" si="15"/>
        <v>#DIV/0!</v>
      </c>
      <c r="AU50" s="1140" t="e">
        <f t="shared" si="15"/>
        <v>#DIV/0!</v>
      </c>
      <c r="AV50" s="1140">
        <f t="shared" si="15"/>
        <v>0</v>
      </c>
      <c r="AW50" s="1140">
        <f t="shared" si="15"/>
        <v>0</v>
      </c>
      <c r="AX50" s="1044">
        <f t="shared" si="84"/>
        <v>0</v>
      </c>
      <c r="AY50" s="1044">
        <f t="shared" si="84"/>
        <v>0</v>
      </c>
      <c r="AZ50" s="1044">
        <f t="shared" si="84"/>
        <v>0</v>
      </c>
      <c r="BA50" s="1044">
        <f t="shared" si="84"/>
        <v>0</v>
      </c>
      <c r="BB50" s="1107"/>
      <c r="BC50" s="1107"/>
      <c r="BD50" s="1107"/>
      <c r="BE50" s="1107"/>
      <c r="BF50" s="1190" t="e">
        <f t="shared" si="17"/>
        <v>#DIV/0!</v>
      </c>
      <c r="BG50" s="1190" t="e">
        <f t="shared" si="17"/>
        <v>#DIV/0!</v>
      </c>
      <c r="BH50" s="1190" t="e">
        <f t="shared" si="17"/>
        <v>#DIV/0!</v>
      </c>
      <c r="BI50" s="1190" t="e">
        <f t="shared" si="17"/>
        <v>#DIV/0!</v>
      </c>
      <c r="BJ50" s="1107">
        <f t="shared" si="7"/>
        <v>1365000000</v>
      </c>
      <c r="BK50" s="1110">
        <f t="shared" si="8"/>
        <v>0</v>
      </c>
      <c r="BL50" s="1111">
        <f t="shared" si="9"/>
        <v>0</v>
      </c>
      <c r="BM50" s="1110">
        <f t="shared" si="10"/>
        <v>0</v>
      </c>
      <c r="BN50" s="1112">
        <f t="shared" si="11"/>
        <v>0</v>
      </c>
      <c r="BO50" s="1113"/>
      <c r="BP50" s="1435" t="s">
        <v>2278</v>
      </c>
      <c r="BQ50" s="1436" t="s">
        <v>2300</v>
      </c>
      <c r="BR50" s="1437" t="s">
        <v>2280</v>
      </c>
    </row>
    <row r="51" spans="1:70" ht="35.25" customHeight="1" thickBot="1">
      <c r="A51" s="1438" t="s">
        <v>2301</v>
      </c>
      <c r="B51" s="1438"/>
      <c r="C51" s="1439"/>
      <c r="D51" s="1439"/>
      <c r="E51" s="1440"/>
      <c r="F51" s="1440"/>
      <c r="G51" s="1440"/>
      <c r="H51" s="1440"/>
      <c r="I51" s="1440"/>
      <c r="J51" s="1440"/>
      <c r="K51" s="1440"/>
      <c r="L51" s="1440"/>
      <c r="M51" s="1440"/>
      <c r="N51" s="1440"/>
      <c r="O51" s="1440"/>
      <c r="P51" s="1441">
        <f>+SUMPRODUCT(P52:P52,Z52:Z52)</f>
        <v>0</v>
      </c>
      <c r="Q51" s="1442">
        <f>+SUMPRODUCT(Q52:Q52,AA52:AA52)</f>
        <v>0</v>
      </c>
      <c r="R51" s="1443" t="e">
        <f>+SUMPRODUCT(R52:R52,AB52:AB52)</f>
        <v>#DIV/0!</v>
      </c>
      <c r="S51" s="1443" t="e">
        <f>+SUMPRODUCT(S52:S52,AC52:AC52)</f>
        <v>#DIV/0!</v>
      </c>
      <c r="T51" s="1444"/>
      <c r="U51" s="1438"/>
      <c r="V51" s="1445"/>
      <c r="W51" s="1445"/>
      <c r="X51" s="1441">
        <f>+SUMPRODUCT(X52:X52,Y52:Y52)</f>
        <v>0</v>
      </c>
      <c r="Y51" s="1442">
        <v>0.1</v>
      </c>
      <c r="Z51" s="1442">
        <v>0</v>
      </c>
      <c r="AA51" s="1442">
        <v>0.1</v>
      </c>
      <c r="AB51" s="1442">
        <v>0.1</v>
      </c>
      <c r="AC51" s="1442">
        <v>0.1</v>
      </c>
      <c r="AD51" s="1445">
        <f>SUM(AD52)</f>
        <v>0</v>
      </c>
      <c r="AE51" s="1445">
        <f>SUM(AE52)</f>
        <v>1332000000</v>
      </c>
      <c r="AF51" s="1445">
        <f t="shared" ref="AF51:AG51" si="90">SUM(AF52)</f>
        <v>0</v>
      </c>
      <c r="AG51" s="1445">
        <f t="shared" si="90"/>
        <v>0</v>
      </c>
      <c r="AH51" s="1445">
        <f>SUM(AH52)</f>
        <v>0</v>
      </c>
      <c r="AI51" s="1445">
        <f t="shared" ref="AI51:AK51" si="91">SUM(AI52)</f>
        <v>1332000000</v>
      </c>
      <c r="AJ51" s="1445">
        <f t="shared" si="91"/>
        <v>0</v>
      </c>
      <c r="AK51" s="1445">
        <f t="shared" si="91"/>
        <v>0</v>
      </c>
      <c r="AL51" s="1446" t="e">
        <f t="shared" si="14"/>
        <v>#DIV/0!</v>
      </c>
      <c r="AM51" s="1446">
        <f t="shared" si="14"/>
        <v>1</v>
      </c>
      <c r="AN51" s="1446" t="e">
        <f t="shared" si="14"/>
        <v>#DIV/0!</v>
      </c>
      <c r="AO51" s="1446" t="e">
        <f t="shared" si="14"/>
        <v>#DIV/0!</v>
      </c>
      <c r="AP51" s="1445">
        <f t="shared" ref="AP51:AS51" si="92">SUM(AP52)</f>
        <v>0</v>
      </c>
      <c r="AQ51" s="1445">
        <f t="shared" si="92"/>
        <v>949745312.47000003</v>
      </c>
      <c r="AR51" s="1445">
        <f t="shared" si="92"/>
        <v>0</v>
      </c>
      <c r="AS51" s="1445">
        <f t="shared" si="92"/>
        <v>0</v>
      </c>
      <c r="AT51" s="1447" t="e">
        <f t="shared" si="15"/>
        <v>#DIV/0!</v>
      </c>
      <c r="AU51" s="1447">
        <f t="shared" si="15"/>
        <v>0.71302200635885893</v>
      </c>
      <c r="AV51" s="1447" t="e">
        <f t="shared" si="15"/>
        <v>#DIV/0!</v>
      </c>
      <c r="AW51" s="1447" t="e">
        <f t="shared" si="15"/>
        <v>#DIV/0!</v>
      </c>
      <c r="AX51" s="1445">
        <f t="shared" ref="AX51:BE51" si="93">SUM(AX52)</f>
        <v>0</v>
      </c>
      <c r="AY51" s="1445">
        <f t="shared" si="93"/>
        <v>382254687.52999997</v>
      </c>
      <c r="AZ51" s="1445">
        <f t="shared" si="93"/>
        <v>0</v>
      </c>
      <c r="BA51" s="1445">
        <f t="shared" si="93"/>
        <v>0</v>
      </c>
      <c r="BB51" s="1445">
        <f t="shared" si="93"/>
        <v>0</v>
      </c>
      <c r="BC51" s="1445">
        <f t="shared" si="93"/>
        <v>0</v>
      </c>
      <c r="BD51" s="1445">
        <f t="shared" si="93"/>
        <v>0</v>
      </c>
      <c r="BE51" s="1445">
        <f t="shared" si="93"/>
        <v>0</v>
      </c>
      <c r="BF51" s="1442" t="e">
        <f t="shared" si="17"/>
        <v>#DIV/0!</v>
      </c>
      <c r="BG51" s="1442">
        <f t="shared" si="17"/>
        <v>0</v>
      </c>
      <c r="BH51" s="1442" t="e">
        <f t="shared" si="17"/>
        <v>#DIV/0!</v>
      </c>
      <c r="BI51" s="1442" t="e">
        <f t="shared" si="17"/>
        <v>#DIV/0!</v>
      </c>
      <c r="BJ51" s="1445">
        <f t="shared" si="7"/>
        <v>1332000000</v>
      </c>
      <c r="BK51" s="1448">
        <f t="shared" si="8"/>
        <v>1332000000</v>
      </c>
      <c r="BL51" s="1442">
        <f t="shared" si="9"/>
        <v>1</v>
      </c>
      <c r="BM51" s="1448">
        <f t="shared" si="10"/>
        <v>949745312.47000003</v>
      </c>
      <c r="BN51" s="1447">
        <f t="shared" si="11"/>
        <v>0.71302200635885893</v>
      </c>
      <c r="BO51" s="1439"/>
      <c r="BP51" s="1449"/>
      <c r="BQ51" s="1450"/>
      <c r="BR51" s="1451"/>
    </row>
    <row r="52" spans="1:70" ht="66" customHeight="1" thickBot="1">
      <c r="A52" s="1452" t="s">
        <v>2302</v>
      </c>
      <c r="B52" s="1453" t="s">
        <v>2303</v>
      </c>
      <c r="C52" s="1454" t="s">
        <v>2181</v>
      </c>
      <c r="D52" s="1455">
        <v>0</v>
      </c>
      <c r="E52" s="1456">
        <v>1</v>
      </c>
      <c r="F52" s="1456">
        <v>0</v>
      </c>
      <c r="G52" s="1457">
        <v>0</v>
      </c>
      <c r="H52" s="1458"/>
      <c r="I52" s="1236">
        <v>0</v>
      </c>
      <c r="J52" s="1236"/>
      <c r="K52" s="1236"/>
      <c r="L52" s="1236"/>
      <c r="M52" s="1237"/>
      <c r="N52" s="1237"/>
      <c r="O52" s="1237"/>
      <c r="P52" s="1238">
        <v>0</v>
      </c>
      <c r="Q52" s="1238">
        <f t="shared" ref="Q52:S52" si="94">IF((I52+M52)/E52&gt;=100%,100%,(I52+M52)/E52)</f>
        <v>0</v>
      </c>
      <c r="R52" s="1238" t="e">
        <f t="shared" si="94"/>
        <v>#DIV/0!</v>
      </c>
      <c r="S52" s="1238" t="e">
        <f t="shared" si="94"/>
        <v>#DIV/0!</v>
      </c>
      <c r="T52" s="1459" t="s">
        <v>2304</v>
      </c>
      <c r="U52" s="1034">
        <v>46022</v>
      </c>
      <c r="V52" s="1035">
        <f>SUM(D52:G52)</f>
        <v>1</v>
      </c>
      <c r="W52" s="1035">
        <f>SUM(H52:N52)</f>
        <v>0</v>
      </c>
      <c r="X52" s="1239">
        <f>IF(W52/V52&gt;=100%,100%,W52/V52)</f>
        <v>0</v>
      </c>
      <c r="Y52" s="1241">
        <v>1</v>
      </c>
      <c r="Z52" s="1241">
        <v>0</v>
      </c>
      <c r="AA52" s="1241">
        <v>1</v>
      </c>
      <c r="AB52" s="1241">
        <v>1</v>
      </c>
      <c r="AC52" s="1241">
        <v>1</v>
      </c>
      <c r="AD52" s="1244">
        <v>0</v>
      </c>
      <c r="AE52" s="1244">
        <v>1332000000</v>
      </c>
      <c r="AF52" s="1244">
        <v>0</v>
      </c>
      <c r="AG52" s="1244">
        <v>0</v>
      </c>
      <c r="AH52" s="1244">
        <v>0</v>
      </c>
      <c r="AI52" s="1244">
        <v>1332000000</v>
      </c>
      <c r="AJ52" s="1244"/>
      <c r="AK52" s="1244"/>
      <c r="AL52" s="1254" t="e">
        <f t="shared" si="14"/>
        <v>#DIV/0!</v>
      </c>
      <c r="AM52" s="1254">
        <f t="shared" si="14"/>
        <v>1</v>
      </c>
      <c r="AN52" s="1254" t="e">
        <f t="shared" si="14"/>
        <v>#DIV/0!</v>
      </c>
      <c r="AO52" s="1254" t="e">
        <f t="shared" si="14"/>
        <v>#DIV/0!</v>
      </c>
      <c r="AP52" s="1250">
        <v>0</v>
      </c>
      <c r="AQ52" s="1247">
        <v>949745312.47000003</v>
      </c>
      <c r="AR52" s="1248"/>
      <c r="AS52" s="1248"/>
      <c r="AT52" s="1249" t="e">
        <f t="shared" si="15"/>
        <v>#DIV/0!</v>
      </c>
      <c r="AU52" s="1249">
        <f t="shared" si="15"/>
        <v>0.71302200635885893</v>
      </c>
      <c r="AV52" s="1249" t="e">
        <f t="shared" si="15"/>
        <v>#DIV/0!</v>
      </c>
      <c r="AW52" s="1249" t="e">
        <f t="shared" si="15"/>
        <v>#DIV/0!</v>
      </c>
      <c r="AX52" s="1044">
        <f t="shared" ref="AX52:BA52" si="95">+AH52-AP52</f>
        <v>0</v>
      </c>
      <c r="AY52" s="1044">
        <f t="shared" si="95"/>
        <v>382254687.52999997</v>
      </c>
      <c r="AZ52" s="1044">
        <f t="shared" si="95"/>
        <v>0</v>
      </c>
      <c r="BA52" s="1044">
        <f t="shared" si="95"/>
        <v>0</v>
      </c>
      <c r="BB52" s="1250"/>
      <c r="BC52" s="1250"/>
      <c r="BD52" s="1250"/>
      <c r="BE52" s="1250"/>
      <c r="BF52" s="1251" t="e">
        <f t="shared" si="17"/>
        <v>#DIV/0!</v>
      </c>
      <c r="BG52" s="1251">
        <f t="shared" si="17"/>
        <v>0</v>
      </c>
      <c r="BH52" s="1251" t="e">
        <f t="shared" si="17"/>
        <v>#DIV/0!</v>
      </c>
      <c r="BI52" s="1251" t="e">
        <f t="shared" si="17"/>
        <v>#DIV/0!</v>
      </c>
      <c r="BJ52" s="1250">
        <f t="shared" si="7"/>
        <v>1332000000</v>
      </c>
      <c r="BK52" s="1252">
        <f t="shared" si="8"/>
        <v>1332000000</v>
      </c>
      <c r="BL52" s="1253">
        <f t="shared" si="9"/>
        <v>1</v>
      </c>
      <c r="BM52" s="1252">
        <f t="shared" si="10"/>
        <v>949745312.47000003</v>
      </c>
      <c r="BN52" s="1254">
        <f t="shared" si="11"/>
        <v>0.71302200635885893</v>
      </c>
      <c r="BO52" s="1460"/>
      <c r="BP52" s="1461" t="s">
        <v>2278</v>
      </c>
      <c r="BQ52" s="1255" t="s">
        <v>2305</v>
      </c>
      <c r="BR52" s="1462" t="s">
        <v>2306</v>
      </c>
    </row>
    <row r="53" spans="1:70" ht="15.75" customHeight="1" thickBot="1">
      <c r="A53" s="1438" t="s">
        <v>2307</v>
      </c>
      <c r="B53" s="1438"/>
      <c r="C53" s="1439"/>
      <c r="D53" s="1439"/>
      <c r="E53" s="1440"/>
      <c r="F53" s="1440"/>
      <c r="G53" s="1440"/>
      <c r="H53" s="1440"/>
      <c r="I53" s="1440"/>
      <c r="J53" s="1440"/>
      <c r="K53" s="1440"/>
      <c r="L53" s="1440"/>
      <c r="M53" s="1440"/>
      <c r="N53" s="1440"/>
      <c r="O53" s="1440"/>
      <c r="P53" s="1441">
        <f>+SUMPRODUCT(P54:P57,Z54:Z57)</f>
        <v>1</v>
      </c>
      <c r="Q53" s="1442">
        <f>+SUMPRODUCT(Q54:Q57,AA54:AA57)</f>
        <v>1</v>
      </c>
      <c r="R53" s="1443">
        <f>+SUMPRODUCT(R54:R57,AB54:AB57)</f>
        <v>0</v>
      </c>
      <c r="S53" s="1443" t="e">
        <f>+SUMPRODUCT(S54:S57,AC54:AC57)</f>
        <v>#DIV/0!</v>
      </c>
      <c r="T53" s="1444"/>
      <c r="U53" s="1438"/>
      <c r="V53" s="1445"/>
      <c r="W53" s="1445"/>
      <c r="X53" s="1441">
        <f>+SUMPRODUCT(X54:X57,Y54:Y57)</f>
        <v>0.5</v>
      </c>
      <c r="Y53" s="1442">
        <v>0.3</v>
      </c>
      <c r="Z53" s="1442">
        <v>0.35</v>
      </c>
      <c r="AA53" s="1442">
        <v>0.3</v>
      </c>
      <c r="AB53" s="1442">
        <v>0.3</v>
      </c>
      <c r="AC53" s="1442">
        <v>0.3</v>
      </c>
      <c r="AD53" s="1445">
        <f>SUM(AD54:AD57)</f>
        <v>805864180.008219</v>
      </c>
      <c r="AE53" s="1445">
        <f>SUM(AE54:AE57)</f>
        <v>1441800000</v>
      </c>
      <c r="AF53" s="1445">
        <f t="shared" ref="AF53:AG53" si="96">SUM(AF54:AF57)</f>
        <v>1719500000</v>
      </c>
      <c r="AG53" s="1445">
        <f t="shared" si="96"/>
        <v>1050000000</v>
      </c>
      <c r="AH53" s="1445">
        <f>SUM(AH54:AH57)</f>
        <v>805864180.008219</v>
      </c>
      <c r="AI53" s="1445">
        <f t="shared" ref="AI53:AK53" si="97">SUM(AI54:AI57)</f>
        <v>1441800000</v>
      </c>
      <c r="AJ53" s="1445">
        <f t="shared" si="97"/>
        <v>0</v>
      </c>
      <c r="AK53" s="1445">
        <f t="shared" si="97"/>
        <v>0</v>
      </c>
      <c r="AL53" s="1447">
        <f t="shared" si="14"/>
        <v>1</v>
      </c>
      <c r="AM53" s="1447">
        <f t="shared" si="14"/>
        <v>1</v>
      </c>
      <c r="AN53" s="1447">
        <f t="shared" si="14"/>
        <v>0</v>
      </c>
      <c r="AO53" s="1447">
        <f t="shared" si="14"/>
        <v>0</v>
      </c>
      <c r="AP53" s="1445">
        <f t="shared" ref="AP53:AS53" si="98">SUM(AP54:AP57)</f>
        <v>623283451.687868</v>
      </c>
      <c r="AQ53" s="1445">
        <f t="shared" si="98"/>
        <v>965076208.4000001</v>
      </c>
      <c r="AR53" s="1445">
        <f t="shared" si="98"/>
        <v>0</v>
      </c>
      <c r="AS53" s="1445">
        <f t="shared" si="98"/>
        <v>0</v>
      </c>
      <c r="AT53" s="1447">
        <f t="shared" si="15"/>
        <v>0.77343486303301279</v>
      </c>
      <c r="AU53" s="1447">
        <f t="shared" si="15"/>
        <v>0.66935511749202392</v>
      </c>
      <c r="AV53" s="1447">
        <f t="shared" si="15"/>
        <v>0</v>
      </c>
      <c r="AW53" s="1447">
        <f t="shared" si="15"/>
        <v>0</v>
      </c>
      <c r="AX53" s="1445">
        <f t="shared" ref="AX53:BE53" si="99">SUM(AX54:AX57)</f>
        <v>182580728.320351</v>
      </c>
      <c r="AY53" s="1445">
        <f t="shared" si="99"/>
        <v>476723791.60000002</v>
      </c>
      <c r="AZ53" s="1445">
        <f t="shared" si="99"/>
        <v>0</v>
      </c>
      <c r="BA53" s="1445">
        <f t="shared" si="99"/>
        <v>0</v>
      </c>
      <c r="BB53" s="1445">
        <f t="shared" si="99"/>
        <v>0</v>
      </c>
      <c r="BC53" s="1445">
        <f t="shared" si="99"/>
        <v>0</v>
      </c>
      <c r="BD53" s="1445">
        <f t="shared" si="99"/>
        <v>0</v>
      </c>
      <c r="BE53" s="1445">
        <f t="shared" si="99"/>
        <v>0</v>
      </c>
      <c r="BF53" s="1442">
        <f t="shared" si="17"/>
        <v>0</v>
      </c>
      <c r="BG53" s="1442">
        <f t="shared" si="17"/>
        <v>0</v>
      </c>
      <c r="BH53" s="1442" t="e">
        <f t="shared" si="17"/>
        <v>#DIV/0!</v>
      </c>
      <c r="BI53" s="1442" t="e">
        <f t="shared" si="17"/>
        <v>#DIV/0!</v>
      </c>
      <c r="BJ53" s="1445">
        <f t="shared" si="7"/>
        <v>5017164180.0082188</v>
      </c>
      <c r="BK53" s="1448">
        <f t="shared" si="8"/>
        <v>2247664180.0082188</v>
      </c>
      <c r="BL53" s="1442">
        <f t="shared" si="9"/>
        <v>0.44799494283333113</v>
      </c>
      <c r="BM53" s="1448">
        <f t="shared" si="10"/>
        <v>1588359660.0878682</v>
      </c>
      <c r="BN53" s="1447">
        <f t="shared" si="11"/>
        <v>0.31658514712693064</v>
      </c>
      <c r="BO53" s="1439"/>
      <c r="BP53" s="1463"/>
      <c r="BQ53" s="1464"/>
      <c r="BR53" s="1465"/>
    </row>
    <row r="54" spans="1:70" ht="51" customHeight="1" thickBot="1">
      <c r="A54" s="1466" t="s">
        <v>2308</v>
      </c>
      <c r="B54" s="1467" t="s">
        <v>2309</v>
      </c>
      <c r="C54" s="1025" t="s">
        <v>2181</v>
      </c>
      <c r="D54" s="1406">
        <v>0</v>
      </c>
      <c r="E54" s="1407">
        <v>1</v>
      </c>
      <c r="F54" s="1407">
        <v>1</v>
      </c>
      <c r="G54" s="1407">
        <v>0</v>
      </c>
      <c r="H54" s="1408"/>
      <c r="I54" s="1030">
        <v>1</v>
      </c>
      <c r="J54" s="1030"/>
      <c r="K54" s="1030"/>
      <c r="L54" s="1030"/>
      <c r="M54" s="1031"/>
      <c r="N54" s="1031"/>
      <c r="O54" s="1031"/>
      <c r="P54" s="1032"/>
      <c r="Q54" s="1032">
        <f t="shared" ref="Q54:S55" si="100">IF((I54+M54)/E54&gt;=100%,100%,(I54+M54)/E54)</f>
        <v>1</v>
      </c>
      <c r="R54" s="1032">
        <f t="shared" si="100"/>
        <v>0</v>
      </c>
      <c r="S54" s="1032" t="e">
        <f t="shared" si="100"/>
        <v>#DIV/0!</v>
      </c>
      <c r="T54" s="1136" t="s">
        <v>2310</v>
      </c>
      <c r="U54" s="1034">
        <v>46022</v>
      </c>
      <c r="V54" s="1035">
        <f t="shared" ref="V54:V57" si="101">SUM(D54:G54)</f>
        <v>2</v>
      </c>
      <c r="W54" s="1035">
        <f t="shared" ref="W54:W57" si="102">SUM(H54:N54)</f>
        <v>1</v>
      </c>
      <c r="X54" s="1036">
        <f>IF(W54/V54&gt;=100%,100%,W54/V54)</f>
        <v>0.5</v>
      </c>
      <c r="Y54" s="1037">
        <v>0.2</v>
      </c>
      <c r="Z54" s="1037">
        <v>0</v>
      </c>
      <c r="AA54" s="1037">
        <v>0.2</v>
      </c>
      <c r="AB54" s="1037">
        <v>0.2</v>
      </c>
      <c r="AC54" s="1037">
        <v>0.2</v>
      </c>
      <c r="AD54" s="1137"/>
      <c r="AE54" s="1137">
        <v>486000000</v>
      </c>
      <c r="AF54" s="1137">
        <v>570000000</v>
      </c>
      <c r="AG54" s="1137">
        <v>0</v>
      </c>
      <c r="AH54" s="1049"/>
      <c r="AI54" s="1049">
        <v>486000000</v>
      </c>
      <c r="AJ54" s="1049"/>
      <c r="AK54" s="1049"/>
      <c r="AL54" s="1112" t="e">
        <f t="shared" si="14"/>
        <v>#DIV/0!</v>
      </c>
      <c r="AM54" s="1112">
        <f t="shared" si="14"/>
        <v>1</v>
      </c>
      <c r="AN54" s="1112">
        <f t="shared" si="14"/>
        <v>0</v>
      </c>
      <c r="AO54" s="1112" t="e">
        <f t="shared" si="14"/>
        <v>#DIV/0!</v>
      </c>
      <c r="AP54" s="1138"/>
      <c r="AQ54" s="1041">
        <v>479022307.31</v>
      </c>
      <c r="AR54" s="1042"/>
      <c r="AS54" s="1042"/>
      <c r="AT54" s="1140" t="e">
        <f t="shared" si="15"/>
        <v>#DIV/0!</v>
      </c>
      <c r="AU54" s="1140">
        <f t="shared" si="15"/>
        <v>0.98564260763374489</v>
      </c>
      <c r="AV54" s="1140">
        <f t="shared" si="15"/>
        <v>0</v>
      </c>
      <c r="AW54" s="1140" t="e">
        <f t="shared" si="15"/>
        <v>#DIV/0!</v>
      </c>
      <c r="AX54" s="1044">
        <f t="shared" ref="AX54:BA57" si="103">+AH54-AP54</f>
        <v>0</v>
      </c>
      <c r="AY54" s="1044">
        <f t="shared" si="103"/>
        <v>6977692.6899999976</v>
      </c>
      <c r="AZ54" s="1044">
        <f t="shared" si="103"/>
        <v>0</v>
      </c>
      <c r="BA54" s="1044">
        <f t="shared" si="103"/>
        <v>0</v>
      </c>
      <c r="BB54" s="1049"/>
      <c r="BC54" s="1049"/>
      <c r="BD54" s="1049"/>
      <c r="BE54" s="1049"/>
      <c r="BF54" s="1045" t="e">
        <f t="shared" si="17"/>
        <v>#DIV/0!</v>
      </c>
      <c r="BG54" s="1045">
        <f t="shared" si="17"/>
        <v>0</v>
      </c>
      <c r="BH54" s="1045" t="e">
        <f t="shared" si="17"/>
        <v>#DIV/0!</v>
      </c>
      <c r="BI54" s="1045" t="e">
        <f t="shared" si="17"/>
        <v>#DIV/0!</v>
      </c>
      <c r="BJ54" s="1049">
        <f t="shared" si="7"/>
        <v>1056000000</v>
      </c>
      <c r="BK54" s="1141">
        <f t="shared" si="8"/>
        <v>486000000</v>
      </c>
      <c r="BL54" s="1142">
        <f t="shared" si="9"/>
        <v>0.46022727272727271</v>
      </c>
      <c r="BM54" s="1141">
        <f t="shared" si="10"/>
        <v>479022307.31</v>
      </c>
      <c r="BN54" s="1143">
        <f t="shared" si="11"/>
        <v>0.45361960919507577</v>
      </c>
      <c r="BO54" s="1049"/>
      <c r="BP54" s="1409" t="s">
        <v>2311</v>
      </c>
      <c r="BQ54" s="1468" t="s">
        <v>2193</v>
      </c>
      <c r="BR54" s="1469" t="s">
        <v>2312</v>
      </c>
    </row>
    <row r="55" spans="1:70" ht="52.8" customHeight="1" thickBot="1">
      <c r="A55" s="1470" t="s">
        <v>2313</v>
      </c>
      <c r="B55" s="1427" t="s">
        <v>2314</v>
      </c>
      <c r="C55" s="1055" t="s">
        <v>2276</v>
      </c>
      <c r="D55" s="1471">
        <v>8</v>
      </c>
      <c r="E55" s="1472">
        <v>12</v>
      </c>
      <c r="F55" s="1472">
        <v>12</v>
      </c>
      <c r="G55" s="1472">
        <v>8</v>
      </c>
      <c r="H55" s="1166">
        <v>8</v>
      </c>
      <c r="I55" s="1060">
        <v>12</v>
      </c>
      <c r="J55" s="1060"/>
      <c r="K55" s="1060"/>
      <c r="L55" s="1060"/>
      <c r="M55" s="1061"/>
      <c r="N55" s="1061"/>
      <c r="O55" s="1061"/>
      <c r="P55" s="1062">
        <f t="shared" ref="P55:S57" si="104">IF((H55+L55)/D55&gt;=100%,100%,(H55+L55)/D55)</f>
        <v>1</v>
      </c>
      <c r="Q55" s="1062">
        <f t="shared" si="100"/>
        <v>1</v>
      </c>
      <c r="R55" s="1062">
        <f t="shared" si="100"/>
        <v>0</v>
      </c>
      <c r="S55" s="1062">
        <f t="shared" si="100"/>
        <v>0</v>
      </c>
      <c r="T55" s="1063" t="s">
        <v>2315</v>
      </c>
      <c r="U55" s="1034">
        <v>46022</v>
      </c>
      <c r="V55" s="1035">
        <f t="shared" si="101"/>
        <v>40</v>
      </c>
      <c r="W55" s="1035">
        <f t="shared" si="102"/>
        <v>20</v>
      </c>
      <c r="X55" s="1036">
        <f>IF(W55/V55&gt;=100%,100%,W55/V55)</f>
        <v>0.5</v>
      </c>
      <c r="Y55" s="1065">
        <v>0.3</v>
      </c>
      <c r="Z55" s="1065">
        <v>0.4</v>
      </c>
      <c r="AA55" s="1065">
        <v>0.3</v>
      </c>
      <c r="AB55" s="1065">
        <v>0.3</v>
      </c>
      <c r="AC55" s="1065">
        <v>0.3</v>
      </c>
      <c r="AD55" s="1066">
        <f>232750000+(174114180.008219/3)</f>
        <v>290788060.00273967</v>
      </c>
      <c r="AE55" s="1066">
        <v>445500000</v>
      </c>
      <c r="AF55" s="1066">
        <v>522500000</v>
      </c>
      <c r="AG55" s="1066">
        <v>350000000</v>
      </c>
      <c r="AH55" s="1075">
        <f>232750000+(174114180.008219/3)</f>
        <v>290788060.00273967</v>
      </c>
      <c r="AI55" s="1075">
        <v>445500000</v>
      </c>
      <c r="AJ55" s="1075"/>
      <c r="AK55" s="1075"/>
      <c r="AL55" s="1173">
        <f t="shared" si="14"/>
        <v>1</v>
      </c>
      <c r="AM55" s="1173">
        <f t="shared" si="14"/>
        <v>1</v>
      </c>
      <c r="AN55" s="1173">
        <f t="shared" si="14"/>
        <v>0</v>
      </c>
      <c r="AO55" s="1173">
        <f t="shared" si="14"/>
        <v>0</v>
      </c>
      <c r="AP55" s="1087">
        <f>200000000+(156981985.687868/3)</f>
        <v>252327328.56262267</v>
      </c>
      <c r="AQ55" s="1068">
        <v>440124015.13</v>
      </c>
      <c r="AR55" s="1069"/>
      <c r="AS55" s="1069"/>
      <c r="AT55" s="1140">
        <f t="shared" si="15"/>
        <v>0.86773620815189367</v>
      </c>
      <c r="AU55" s="1140">
        <f t="shared" si="15"/>
        <v>0.98793269389450056</v>
      </c>
      <c r="AV55" s="1140">
        <f t="shared" si="15"/>
        <v>0</v>
      </c>
      <c r="AW55" s="1140">
        <f t="shared" si="15"/>
        <v>0</v>
      </c>
      <c r="AX55" s="1044">
        <f t="shared" si="103"/>
        <v>38460731.440117002</v>
      </c>
      <c r="AY55" s="1044">
        <f t="shared" si="103"/>
        <v>5375984.8700000048</v>
      </c>
      <c r="AZ55" s="1044">
        <f t="shared" si="103"/>
        <v>0</v>
      </c>
      <c r="BA55" s="1044">
        <f t="shared" si="103"/>
        <v>0</v>
      </c>
      <c r="BB55" s="1075"/>
      <c r="BC55" s="1075"/>
      <c r="BD55" s="1075"/>
      <c r="BE55" s="1075"/>
      <c r="BF55" s="1071">
        <f t="shared" si="17"/>
        <v>0</v>
      </c>
      <c r="BG55" s="1071">
        <f t="shared" si="17"/>
        <v>0</v>
      </c>
      <c r="BH55" s="1071" t="e">
        <f t="shared" si="17"/>
        <v>#DIV/0!</v>
      </c>
      <c r="BI55" s="1071" t="e">
        <f t="shared" si="17"/>
        <v>#DIV/0!</v>
      </c>
      <c r="BJ55" s="1075">
        <f t="shared" si="7"/>
        <v>1608788060.0027397</v>
      </c>
      <c r="BK55" s="1091">
        <f t="shared" si="8"/>
        <v>736288060.00273967</v>
      </c>
      <c r="BL55" s="1092">
        <f t="shared" si="9"/>
        <v>0.45766628825022843</v>
      </c>
      <c r="BM55" s="1091">
        <f t="shared" si="10"/>
        <v>692451343.69262266</v>
      </c>
      <c r="BN55" s="1093">
        <f t="shared" si="11"/>
        <v>0.43041800278617398</v>
      </c>
      <c r="BO55" s="1075" t="s">
        <v>2284</v>
      </c>
      <c r="BP55" s="1321" t="s">
        <v>2311</v>
      </c>
      <c r="BQ55" s="1420" t="s">
        <v>2279</v>
      </c>
      <c r="BR55" s="1421" t="s">
        <v>2312</v>
      </c>
    </row>
    <row r="56" spans="1:70" ht="58.2" customHeight="1" thickBot="1">
      <c r="A56" s="1422" t="s">
        <v>2316</v>
      </c>
      <c r="B56" s="1473" t="s">
        <v>2317</v>
      </c>
      <c r="C56" s="1055" t="s">
        <v>2181</v>
      </c>
      <c r="D56" s="1471">
        <v>1</v>
      </c>
      <c r="E56" s="1474">
        <v>1</v>
      </c>
      <c r="F56" s="1474">
        <v>1</v>
      </c>
      <c r="G56" s="1475">
        <v>1</v>
      </c>
      <c r="H56" s="1166">
        <v>1</v>
      </c>
      <c r="I56" s="1060">
        <v>1</v>
      </c>
      <c r="J56" s="1060"/>
      <c r="K56" s="1060"/>
      <c r="L56" s="1060"/>
      <c r="M56" s="1061"/>
      <c r="N56" s="1061"/>
      <c r="O56" s="1061"/>
      <c r="P56" s="1062">
        <f t="shared" si="104"/>
        <v>1</v>
      </c>
      <c r="Q56" s="1064">
        <f t="shared" si="104"/>
        <v>1</v>
      </c>
      <c r="R56" s="1064">
        <f t="shared" si="104"/>
        <v>0</v>
      </c>
      <c r="S56" s="1064">
        <f t="shared" si="104"/>
        <v>0</v>
      </c>
      <c r="T56" s="1063" t="s">
        <v>2318</v>
      </c>
      <c r="U56" s="1034">
        <v>46022</v>
      </c>
      <c r="V56" s="1035">
        <f t="shared" si="101"/>
        <v>4</v>
      </c>
      <c r="W56" s="1035">
        <f t="shared" si="102"/>
        <v>2</v>
      </c>
      <c r="X56" s="1327">
        <f t="shared" ref="X56:X57" si="105">IF(W56/V56&gt;=100%,100%,W56/V56)</f>
        <v>0.5</v>
      </c>
      <c r="Y56" s="1065">
        <v>0.25</v>
      </c>
      <c r="Z56" s="1065">
        <v>0.3</v>
      </c>
      <c r="AA56" s="1065">
        <v>0.25</v>
      </c>
      <c r="AB56" s="1065">
        <v>0.25</v>
      </c>
      <c r="AC56" s="1065">
        <v>0.25</v>
      </c>
      <c r="AD56" s="1066">
        <f>199500000++(174114180.008219/3)</f>
        <v>257538060.00273967</v>
      </c>
      <c r="AE56" s="1066">
        <v>255150000</v>
      </c>
      <c r="AF56" s="1066">
        <v>313500000</v>
      </c>
      <c r="AG56" s="1066">
        <v>350000000</v>
      </c>
      <c r="AH56" s="1075">
        <f>199500000+(174114180.008219/3)</f>
        <v>257538060.00273967</v>
      </c>
      <c r="AI56" s="1075">
        <v>255150000</v>
      </c>
      <c r="AJ56" s="1075"/>
      <c r="AK56" s="1075"/>
      <c r="AL56" s="1173">
        <f t="shared" si="14"/>
        <v>1</v>
      </c>
      <c r="AM56" s="1173">
        <f t="shared" si="14"/>
        <v>1</v>
      </c>
      <c r="AN56" s="1173">
        <f t="shared" si="14"/>
        <v>0</v>
      </c>
      <c r="AO56" s="1173">
        <f t="shared" si="14"/>
        <v>0</v>
      </c>
      <c r="AP56" s="1087">
        <f>140301466+(156981985.687868/3)</f>
        <v>192628794.56262267</v>
      </c>
      <c r="AQ56" s="1068">
        <v>22964942.98</v>
      </c>
      <c r="AR56" s="1419"/>
      <c r="AS56" s="1419"/>
      <c r="AT56" s="1140">
        <f t="shared" si="15"/>
        <v>0.74796243537973961</v>
      </c>
      <c r="AU56" s="1140">
        <f t="shared" si="15"/>
        <v>9.0005655418381347E-2</v>
      </c>
      <c r="AV56" s="1140">
        <f t="shared" si="15"/>
        <v>0</v>
      </c>
      <c r="AW56" s="1140">
        <f t="shared" si="15"/>
        <v>0</v>
      </c>
      <c r="AX56" s="1044">
        <f t="shared" si="103"/>
        <v>64909265.440117002</v>
      </c>
      <c r="AY56" s="1044">
        <f t="shared" si="103"/>
        <v>232185057.02000001</v>
      </c>
      <c r="AZ56" s="1044">
        <f t="shared" si="103"/>
        <v>0</v>
      </c>
      <c r="BA56" s="1044">
        <f t="shared" si="103"/>
        <v>0</v>
      </c>
      <c r="BB56" s="1075"/>
      <c r="BC56" s="1075"/>
      <c r="BD56" s="1075"/>
      <c r="BE56" s="1075"/>
      <c r="BF56" s="1071">
        <f t="shared" si="17"/>
        <v>0</v>
      </c>
      <c r="BG56" s="1071">
        <f t="shared" si="17"/>
        <v>0</v>
      </c>
      <c r="BH56" s="1071" t="e">
        <f t="shared" si="17"/>
        <v>#DIV/0!</v>
      </c>
      <c r="BI56" s="1071" t="e">
        <f t="shared" si="17"/>
        <v>#DIV/0!</v>
      </c>
      <c r="BJ56" s="1075">
        <f t="shared" si="7"/>
        <v>1176188060.0027397</v>
      </c>
      <c r="BK56" s="1091">
        <f t="shared" si="8"/>
        <v>512688060.00273967</v>
      </c>
      <c r="BL56" s="1092">
        <f t="shared" si="9"/>
        <v>0.43588952943591813</v>
      </c>
      <c r="BM56" s="1091">
        <f t="shared" si="10"/>
        <v>215593737.54262266</v>
      </c>
      <c r="BN56" s="1093">
        <f t="shared" si="11"/>
        <v>0.18329869590932635</v>
      </c>
      <c r="BO56" s="1075" t="s">
        <v>2284</v>
      </c>
      <c r="BP56" s="1321" t="s">
        <v>2311</v>
      </c>
      <c r="BQ56" s="1476" t="s">
        <v>2319</v>
      </c>
      <c r="BR56" s="1421" t="s">
        <v>2312</v>
      </c>
    </row>
    <row r="57" spans="1:70" ht="81.75" customHeight="1" thickBot="1">
      <c r="A57" s="1429" t="s">
        <v>2320</v>
      </c>
      <c r="B57" s="1430" t="s">
        <v>2321</v>
      </c>
      <c r="C57" s="1152" t="s">
        <v>2181</v>
      </c>
      <c r="D57" s="1477">
        <v>1</v>
      </c>
      <c r="E57" s="1478">
        <v>1</v>
      </c>
      <c r="F57" s="1478">
        <v>1</v>
      </c>
      <c r="G57" s="1479">
        <v>1</v>
      </c>
      <c r="H57" s="1480">
        <v>1</v>
      </c>
      <c r="I57" s="1182">
        <v>1</v>
      </c>
      <c r="J57" s="1481"/>
      <c r="K57" s="1481"/>
      <c r="L57" s="1182"/>
      <c r="M57" s="1101"/>
      <c r="N57" s="1101"/>
      <c r="O57" s="1101"/>
      <c r="P57" s="1102">
        <f t="shared" si="104"/>
        <v>1</v>
      </c>
      <c r="Q57" s="1157">
        <f t="shared" si="104"/>
        <v>1</v>
      </c>
      <c r="R57" s="1157">
        <f t="shared" si="104"/>
        <v>0</v>
      </c>
      <c r="S57" s="1157">
        <f t="shared" si="104"/>
        <v>0</v>
      </c>
      <c r="T57" s="1482" t="s">
        <v>2322</v>
      </c>
      <c r="U57" s="1034">
        <v>46022</v>
      </c>
      <c r="V57" s="1035">
        <f t="shared" si="101"/>
        <v>4</v>
      </c>
      <c r="W57" s="1035">
        <f t="shared" si="102"/>
        <v>2</v>
      </c>
      <c r="X57" s="1291">
        <f t="shared" si="105"/>
        <v>0.5</v>
      </c>
      <c r="Y57" s="1104">
        <v>0.25</v>
      </c>
      <c r="Z57" s="1104">
        <v>0.3</v>
      </c>
      <c r="AA57" s="1104">
        <v>0.25</v>
      </c>
      <c r="AB57" s="1104">
        <v>0.25</v>
      </c>
      <c r="AC57" s="1104">
        <v>0.25</v>
      </c>
      <c r="AD57" s="1483">
        <f>199500000+(174114180.008219/3)</f>
        <v>257538060.00273967</v>
      </c>
      <c r="AE57" s="1483">
        <v>255150000</v>
      </c>
      <c r="AF57" s="1483">
        <v>313500000</v>
      </c>
      <c r="AG57" s="1483">
        <v>350000000</v>
      </c>
      <c r="AH57" s="1113">
        <f>199500000+(174114180.008219/3)</f>
        <v>257538060.00273967</v>
      </c>
      <c r="AI57" s="1075">
        <v>255150000</v>
      </c>
      <c r="AJ57" s="1113"/>
      <c r="AK57" s="1113"/>
      <c r="AL57" s="1295">
        <f t="shared" si="14"/>
        <v>1</v>
      </c>
      <c r="AM57" s="1295">
        <f t="shared" si="14"/>
        <v>1</v>
      </c>
      <c r="AN57" s="1295">
        <f t="shared" si="14"/>
        <v>0</v>
      </c>
      <c r="AO57" s="1295">
        <f t="shared" si="14"/>
        <v>0</v>
      </c>
      <c r="AP57" s="1109">
        <f>126000000+(156981985.687868/3)</f>
        <v>178327328.56262267</v>
      </c>
      <c r="AQ57" s="1068">
        <v>22964942.98</v>
      </c>
      <c r="AR57" s="1434"/>
      <c r="AS57" s="1434"/>
      <c r="AT57" s="1189">
        <f t="shared" si="15"/>
        <v>0.6924309694680687</v>
      </c>
      <c r="AU57" s="1189">
        <f t="shared" si="15"/>
        <v>9.0005655418381347E-2</v>
      </c>
      <c r="AV57" s="1189">
        <f t="shared" si="15"/>
        <v>0</v>
      </c>
      <c r="AW57" s="1189">
        <f t="shared" si="15"/>
        <v>0</v>
      </c>
      <c r="AX57" s="1044">
        <f t="shared" si="103"/>
        <v>79210731.440117002</v>
      </c>
      <c r="AY57" s="1044">
        <f t="shared" si="103"/>
        <v>232185057.02000001</v>
      </c>
      <c r="AZ57" s="1044">
        <f t="shared" si="103"/>
        <v>0</v>
      </c>
      <c r="BA57" s="1044">
        <f t="shared" si="103"/>
        <v>0</v>
      </c>
      <c r="BB57" s="1113"/>
      <c r="BC57" s="1113"/>
      <c r="BD57" s="1113"/>
      <c r="BE57" s="1113"/>
      <c r="BF57" s="1190">
        <f t="shared" si="17"/>
        <v>0</v>
      </c>
      <c r="BG57" s="1190">
        <f t="shared" si="17"/>
        <v>0</v>
      </c>
      <c r="BH57" s="1190" t="e">
        <f t="shared" si="17"/>
        <v>#DIV/0!</v>
      </c>
      <c r="BI57" s="1190" t="e">
        <f t="shared" si="17"/>
        <v>#DIV/0!</v>
      </c>
      <c r="BJ57" s="1113">
        <f t="shared" si="7"/>
        <v>1176188060.0027397</v>
      </c>
      <c r="BK57" s="1484">
        <f t="shared" si="8"/>
        <v>512688060.00273967</v>
      </c>
      <c r="BL57" s="1485">
        <f t="shared" si="9"/>
        <v>0.43588952943591813</v>
      </c>
      <c r="BM57" s="1484">
        <f t="shared" si="10"/>
        <v>201292271.54262266</v>
      </c>
      <c r="BN57" s="1486">
        <f t="shared" si="11"/>
        <v>0.17113952979777214</v>
      </c>
      <c r="BO57" s="1075" t="s">
        <v>2284</v>
      </c>
      <c r="BP57" s="1435" t="s">
        <v>2311</v>
      </c>
      <c r="BQ57" s="1487" t="s">
        <v>2193</v>
      </c>
      <c r="BR57" s="1437" t="s">
        <v>2312</v>
      </c>
    </row>
    <row r="58" spans="1:70" ht="15.75" customHeight="1">
      <c r="A58" s="1488" t="s">
        <v>2323</v>
      </c>
      <c r="B58" s="1488"/>
      <c r="C58" s="1489"/>
      <c r="D58" s="1489"/>
      <c r="E58" s="1490"/>
      <c r="F58" s="1490"/>
      <c r="G58" s="1491"/>
      <c r="H58" s="1490"/>
      <c r="I58" s="1490"/>
      <c r="J58" s="1491"/>
      <c r="K58" s="1490"/>
      <c r="L58" s="1490"/>
      <c r="M58" s="1491"/>
      <c r="N58" s="1491"/>
      <c r="O58" s="1491"/>
      <c r="P58" s="1492">
        <f>+(P59*Z59)+(P64*Z64)+(P68*Z68)+(P70*Z70)+(P74*Z74)</f>
        <v>0.94511475409836065</v>
      </c>
      <c r="Q58" s="1493">
        <f>+(Q59*AA59)+(Q64*AA64)+(Q68*AA68)+(Q70*AA70)+(Q74*AA74)</f>
        <v>0.91249999999999987</v>
      </c>
      <c r="R58" s="1494" t="e">
        <f>+(R59*AB59)+(R64*AB64)+(R68*AB68)+(R70*AB70)+(R79*AB79)</f>
        <v>#DIV/0!</v>
      </c>
      <c r="S58" s="1494" t="e">
        <f>+(S59*AC59)+(S64*AC64)+(S68*AC68)+(S70*AC70)+(S79*AC79)</f>
        <v>#DIV/0!</v>
      </c>
      <c r="T58" s="1495"/>
      <c r="U58" s="1496"/>
      <c r="V58" s="1497"/>
      <c r="W58" s="1497"/>
      <c r="X58" s="1493">
        <f>+(X59*Y59)+(X64*Y64)+(X68*Y68)+(X70*Y70)+(X74*Y74)</f>
        <v>0.46265957205766317</v>
      </c>
      <c r="Y58" s="1498">
        <v>0.5</v>
      </c>
      <c r="Z58" s="1498">
        <v>0.5</v>
      </c>
      <c r="AA58" s="1498">
        <v>0.5</v>
      </c>
      <c r="AB58" s="1498">
        <v>0.5</v>
      </c>
      <c r="AC58" s="1498">
        <v>0.5</v>
      </c>
      <c r="AD58" s="1499">
        <f>+AD59+AD64+AD68+AD70+AD74</f>
        <v>9173115728.5780811</v>
      </c>
      <c r="AE58" s="1499">
        <f>+AE59+AE64+AE68+AE70+AE74</f>
        <v>11004651843</v>
      </c>
      <c r="AF58" s="1499">
        <f t="shared" ref="AF58:AG58" si="106">+AF59+AF64+AF68+AF70+AF74</f>
        <v>4037500000</v>
      </c>
      <c r="AG58" s="1499">
        <f t="shared" si="106"/>
        <v>4320000000</v>
      </c>
      <c r="AH58" s="1500">
        <f>+AH59+AH64+AH68+AH70+AH74</f>
        <v>7283184775.5780811</v>
      </c>
      <c r="AI58" s="1499">
        <f t="shared" ref="AI58:AK58" si="107">+AI59+AI64+AI68+AI70+AI74</f>
        <v>9972157661</v>
      </c>
      <c r="AJ58" s="1499">
        <f t="shared" si="107"/>
        <v>0</v>
      </c>
      <c r="AK58" s="1499">
        <f t="shared" si="107"/>
        <v>0</v>
      </c>
      <c r="AL58" s="1492">
        <f t="shared" si="14"/>
        <v>0.79397066286735307</v>
      </c>
      <c r="AM58" s="1492">
        <f t="shared" si="14"/>
        <v>0.90617656998783069</v>
      </c>
      <c r="AN58" s="1492">
        <f t="shared" si="14"/>
        <v>0</v>
      </c>
      <c r="AO58" s="1492">
        <f t="shared" si="14"/>
        <v>0</v>
      </c>
      <c r="AP58" s="1499">
        <f t="shared" ref="AP58:AS58" si="108">+AP59+AP64+AP68+AP70+AP74</f>
        <v>6241200065.540575</v>
      </c>
      <c r="AQ58" s="1499">
        <f t="shared" si="108"/>
        <v>9038652255.1399994</v>
      </c>
      <c r="AR58" s="1499">
        <f t="shared" si="108"/>
        <v>0</v>
      </c>
      <c r="AS58" s="1499">
        <f t="shared" si="108"/>
        <v>0</v>
      </c>
      <c r="AT58" s="1492">
        <f t="shared" si="15"/>
        <v>0.68037951882549941</v>
      </c>
      <c r="AU58" s="1492">
        <f t="shared" si="15"/>
        <v>0.82134831561158728</v>
      </c>
      <c r="AV58" s="1492">
        <f t="shared" si="15"/>
        <v>0</v>
      </c>
      <c r="AW58" s="1492">
        <f t="shared" si="15"/>
        <v>0</v>
      </c>
      <c r="AX58" s="1499">
        <f t="shared" ref="AX58:BE58" si="109">+AX59+AX64+AX68+AX70+AX74</f>
        <v>1041984710.0375062</v>
      </c>
      <c r="AY58" s="1499">
        <f t="shared" si="109"/>
        <v>933505405.85999966</v>
      </c>
      <c r="AZ58" s="1499">
        <f t="shared" si="109"/>
        <v>0</v>
      </c>
      <c r="BA58" s="1499">
        <f t="shared" si="109"/>
        <v>0</v>
      </c>
      <c r="BB58" s="1499">
        <f t="shared" si="109"/>
        <v>0</v>
      </c>
      <c r="BC58" s="1499">
        <f t="shared" si="109"/>
        <v>0</v>
      </c>
      <c r="BD58" s="1499">
        <f t="shared" si="109"/>
        <v>0</v>
      </c>
      <c r="BE58" s="1499">
        <f t="shared" si="109"/>
        <v>0</v>
      </c>
      <c r="BF58" s="1501">
        <f t="shared" si="17"/>
        <v>0</v>
      </c>
      <c r="BG58" s="1501">
        <f t="shared" si="17"/>
        <v>0</v>
      </c>
      <c r="BH58" s="1501" t="e">
        <f t="shared" si="17"/>
        <v>#DIV/0!</v>
      </c>
      <c r="BI58" s="1501" t="e">
        <f t="shared" si="17"/>
        <v>#DIV/0!</v>
      </c>
      <c r="BJ58" s="1499">
        <f t="shared" si="7"/>
        <v>28535267571.578079</v>
      </c>
      <c r="BK58" s="1500">
        <f t="shared" si="8"/>
        <v>17255342436.578079</v>
      </c>
      <c r="BL58" s="1502">
        <f t="shared" si="9"/>
        <v>0.60470231769492433</v>
      </c>
      <c r="BM58" s="1500">
        <f t="shared" si="10"/>
        <v>15279852320.680574</v>
      </c>
      <c r="BN58" s="1503">
        <f t="shared" si="11"/>
        <v>0.53547254401426159</v>
      </c>
      <c r="BO58" s="1499"/>
      <c r="BP58" s="1504"/>
      <c r="BQ58" s="1505"/>
      <c r="BR58" s="1506"/>
    </row>
    <row r="59" spans="1:70" ht="15.75" customHeight="1" thickBot="1">
      <c r="A59" s="1389" t="s">
        <v>2324</v>
      </c>
      <c r="B59" s="1389"/>
      <c r="C59" s="1390"/>
      <c r="D59" s="1390"/>
      <c r="E59" s="1391"/>
      <c r="F59" s="1391"/>
      <c r="G59" s="1391"/>
      <c r="H59" s="1391"/>
      <c r="I59" s="1391"/>
      <c r="J59" s="1391"/>
      <c r="K59" s="1391"/>
      <c r="L59" s="1391"/>
      <c r="M59" s="1391"/>
      <c r="N59" s="1391"/>
      <c r="O59" s="1391"/>
      <c r="P59" s="1392">
        <f>+SUMPRODUCT(P60:P63,Z60:Z63)</f>
        <v>1</v>
      </c>
      <c r="Q59" s="1393">
        <f>+SUMPRODUCT(Q60:Q63,AA60:AA63)</f>
        <v>1</v>
      </c>
      <c r="R59" s="1394" t="e">
        <f>+SUMPRODUCT(R60:R63,AB60:AB63)</f>
        <v>#DIV/0!</v>
      </c>
      <c r="S59" s="1394" t="e">
        <f>+SUMPRODUCT(S60:S63,AC60:AC63)</f>
        <v>#DIV/0!</v>
      </c>
      <c r="T59" s="1395"/>
      <c r="U59" s="1389"/>
      <c r="V59" s="1396"/>
      <c r="W59" s="1396"/>
      <c r="X59" s="1397">
        <f>+SUMPRODUCT(X60:X63,Y60:Y63)</f>
        <v>0.47499999999999998</v>
      </c>
      <c r="Y59" s="1393">
        <v>0.35</v>
      </c>
      <c r="Z59" s="1393">
        <v>0.36</v>
      </c>
      <c r="AA59" s="1393">
        <v>0.38</v>
      </c>
      <c r="AB59" s="1393">
        <v>0.38</v>
      </c>
      <c r="AC59" s="1393">
        <v>0.38</v>
      </c>
      <c r="AD59" s="1396">
        <f>SUM(AD60:AD63)</f>
        <v>1232235532.8657529</v>
      </c>
      <c r="AE59" s="1396">
        <f>SUM(AE60:AE63)</f>
        <v>1073250000</v>
      </c>
      <c r="AF59" s="1396">
        <f t="shared" ref="AF59:AG59" si="110">SUM(AF60:AF63)</f>
        <v>1662500000</v>
      </c>
      <c r="AG59" s="1396">
        <f t="shared" si="110"/>
        <v>1750000000</v>
      </c>
      <c r="AH59" s="1396">
        <f>SUM(AH60:AH63)</f>
        <v>1231935532.8657529</v>
      </c>
      <c r="AI59" s="1396">
        <f t="shared" ref="AI59:AK59" si="111">SUM(AI60:AI63)</f>
        <v>1073250000</v>
      </c>
      <c r="AJ59" s="1396">
        <f t="shared" si="111"/>
        <v>0</v>
      </c>
      <c r="AK59" s="1396">
        <f t="shared" si="111"/>
        <v>0</v>
      </c>
      <c r="AL59" s="1398">
        <f t="shared" si="14"/>
        <v>0.99975654005098979</v>
      </c>
      <c r="AM59" s="1398">
        <f t="shared" si="14"/>
        <v>1</v>
      </c>
      <c r="AN59" s="1398">
        <f t="shared" si="14"/>
        <v>0</v>
      </c>
      <c r="AO59" s="1398">
        <f t="shared" si="14"/>
        <v>0</v>
      </c>
      <c r="AP59" s="1396">
        <f t="shared" ref="AP59:AS59" si="112">SUM(AP60:AP63)</f>
        <v>882138936.56427407</v>
      </c>
      <c r="AQ59" s="1396">
        <f t="shared" si="112"/>
        <v>1043431862.22</v>
      </c>
      <c r="AR59" s="1396">
        <f t="shared" si="112"/>
        <v>0</v>
      </c>
      <c r="AS59" s="1396">
        <f t="shared" si="112"/>
        <v>0</v>
      </c>
      <c r="AT59" s="1400">
        <f t="shared" si="15"/>
        <v>0.71588500171937464</v>
      </c>
      <c r="AU59" s="1400">
        <f t="shared" si="15"/>
        <v>0.97221696922431866</v>
      </c>
      <c r="AV59" s="1400">
        <f t="shared" si="15"/>
        <v>0</v>
      </c>
      <c r="AW59" s="1400">
        <f t="shared" si="15"/>
        <v>0</v>
      </c>
      <c r="AX59" s="1396">
        <f t="shared" ref="AX59:BE59" si="113">SUM(AX60:AX63)</f>
        <v>349796596.30147886</v>
      </c>
      <c r="AY59" s="1396">
        <f t="shared" si="113"/>
        <v>29818137.779999971</v>
      </c>
      <c r="AZ59" s="1396">
        <f t="shared" si="113"/>
        <v>0</v>
      </c>
      <c r="BA59" s="1396">
        <f t="shared" si="113"/>
        <v>0</v>
      </c>
      <c r="BB59" s="1396">
        <f t="shared" si="113"/>
        <v>0</v>
      </c>
      <c r="BC59" s="1396">
        <f t="shared" si="113"/>
        <v>0</v>
      </c>
      <c r="BD59" s="1396">
        <f t="shared" si="113"/>
        <v>0</v>
      </c>
      <c r="BE59" s="1396">
        <f t="shared" si="113"/>
        <v>0</v>
      </c>
      <c r="BF59" s="1393">
        <f t="shared" si="17"/>
        <v>0</v>
      </c>
      <c r="BG59" s="1393">
        <f t="shared" si="17"/>
        <v>0</v>
      </c>
      <c r="BH59" s="1393" t="e">
        <f t="shared" si="17"/>
        <v>#DIV/0!</v>
      </c>
      <c r="BI59" s="1393" t="e">
        <f t="shared" si="17"/>
        <v>#DIV/0!</v>
      </c>
      <c r="BJ59" s="1396">
        <f t="shared" si="7"/>
        <v>5717985532.8657532</v>
      </c>
      <c r="BK59" s="1401">
        <f t="shared" si="8"/>
        <v>2305185532.8657532</v>
      </c>
      <c r="BL59" s="1393">
        <f t="shared" si="9"/>
        <v>0.40314644372848474</v>
      </c>
      <c r="BM59" s="1401">
        <f t="shared" si="10"/>
        <v>1925570798.7842741</v>
      </c>
      <c r="BN59" s="1400">
        <f t="shared" si="11"/>
        <v>0.33675685041812481</v>
      </c>
      <c r="BO59" s="1390"/>
      <c r="BP59" s="1402"/>
      <c r="BQ59" s="1403"/>
      <c r="BR59" s="1507"/>
    </row>
    <row r="60" spans="1:70" ht="133.19999999999999" thickBot="1">
      <c r="A60" s="1023" t="s">
        <v>2325</v>
      </c>
      <c r="B60" s="1467" t="s">
        <v>2326</v>
      </c>
      <c r="C60" s="1025" t="s">
        <v>2181</v>
      </c>
      <c r="D60" s="1508">
        <v>0</v>
      </c>
      <c r="E60" s="1407">
        <v>1</v>
      </c>
      <c r="F60" s="1407">
        <v>0</v>
      </c>
      <c r="G60" s="1509">
        <v>0</v>
      </c>
      <c r="H60" s="1029"/>
      <c r="I60" s="1030">
        <v>1</v>
      </c>
      <c r="J60" s="1030"/>
      <c r="K60" s="1030"/>
      <c r="L60" s="1030"/>
      <c r="M60" s="1031"/>
      <c r="N60" s="1031"/>
      <c r="O60" s="1031"/>
      <c r="P60" s="1032"/>
      <c r="Q60" s="1032">
        <f t="shared" ref="Q60:S60" si="114">IF((I60+M60)/E60&gt;=100%,100%,(I60+M60)/E60)</f>
        <v>1</v>
      </c>
      <c r="R60" s="1032" t="e">
        <f t="shared" si="114"/>
        <v>#DIV/0!</v>
      </c>
      <c r="S60" s="1032" t="e">
        <f t="shared" si="114"/>
        <v>#DIV/0!</v>
      </c>
      <c r="T60" s="1136" t="s">
        <v>2327</v>
      </c>
      <c r="U60" s="1034">
        <v>46022</v>
      </c>
      <c r="V60" s="1035">
        <f t="shared" ref="V60:V63" si="115">SUM(D60:G60)</f>
        <v>1</v>
      </c>
      <c r="W60" s="1035">
        <f t="shared" ref="W60:W63" si="116">SUM(H60:N60)</f>
        <v>1</v>
      </c>
      <c r="X60" s="1036">
        <f>IF(W60/V60&gt;=100%,100%,W60/V60)</f>
        <v>1</v>
      </c>
      <c r="Y60" s="1037">
        <v>0.1</v>
      </c>
      <c r="Z60" s="1037">
        <v>0</v>
      </c>
      <c r="AA60" s="1037">
        <v>0.25</v>
      </c>
      <c r="AB60" s="1037">
        <v>0.25</v>
      </c>
      <c r="AC60" s="1037">
        <v>0.25</v>
      </c>
      <c r="AD60" s="1137"/>
      <c r="AE60" s="1137">
        <v>450000000</v>
      </c>
      <c r="AF60" s="1137">
        <v>0</v>
      </c>
      <c r="AG60" s="1137">
        <v>0</v>
      </c>
      <c r="AH60" s="1049"/>
      <c r="AI60" s="1049">
        <v>450000000</v>
      </c>
      <c r="AJ60" s="1049"/>
      <c r="AK60" s="1049"/>
      <c r="AL60" s="1112" t="e">
        <f t="shared" si="14"/>
        <v>#DIV/0!</v>
      </c>
      <c r="AM60" s="1112">
        <f t="shared" si="14"/>
        <v>1</v>
      </c>
      <c r="AN60" s="1112" t="e">
        <f t="shared" si="14"/>
        <v>#DIV/0!</v>
      </c>
      <c r="AO60" s="1112" t="e">
        <f t="shared" si="14"/>
        <v>#DIV/0!</v>
      </c>
      <c r="AP60" s="1138"/>
      <c r="AQ60" s="1041">
        <v>427088601.38999999</v>
      </c>
      <c r="AR60" s="1042"/>
      <c r="AS60" s="1042"/>
      <c r="AT60" s="1140" t="e">
        <f t="shared" si="15"/>
        <v>#DIV/0!</v>
      </c>
      <c r="AU60" s="1140">
        <f t="shared" si="15"/>
        <v>0.94908578086666662</v>
      </c>
      <c r="AV60" s="1140" t="e">
        <f t="shared" si="15"/>
        <v>#DIV/0!</v>
      </c>
      <c r="AW60" s="1140" t="e">
        <f t="shared" si="15"/>
        <v>#DIV/0!</v>
      </c>
      <c r="AX60" s="1044">
        <f t="shared" ref="AX60:BA63" si="117">+AH60-AP60</f>
        <v>0</v>
      </c>
      <c r="AY60" s="1044">
        <f t="shared" si="117"/>
        <v>22911398.610000014</v>
      </c>
      <c r="AZ60" s="1044">
        <f t="shared" si="117"/>
        <v>0</v>
      </c>
      <c r="BA60" s="1044">
        <f t="shared" si="117"/>
        <v>0</v>
      </c>
      <c r="BB60" s="1049"/>
      <c r="BC60" s="1049"/>
      <c r="BD60" s="1049"/>
      <c r="BE60" s="1049"/>
      <c r="BF60" s="1045" t="e">
        <f t="shared" si="17"/>
        <v>#DIV/0!</v>
      </c>
      <c r="BG60" s="1045">
        <f t="shared" si="17"/>
        <v>0</v>
      </c>
      <c r="BH60" s="1045" t="e">
        <f t="shared" si="17"/>
        <v>#DIV/0!</v>
      </c>
      <c r="BI60" s="1045" t="e">
        <f t="shared" si="17"/>
        <v>#DIV/0!</v>
      </c>
      <c r="BJ60" s="1049">
        <f t="shared" si="7"/>
        <v>450000000</v>
      </c>
      <c r="BK60" s="1141">
        <f t="shared" si="8"/>
        <v>450000000</v>
      </c>
      <c r="BL60" s="1142">
        <f t="shared" si="9"/>
        <v>1</v>
      </c>
      <c r="BM60" s="1141">
        <f t="shared" si="10"/>
        <v>427088601.38999999</v>
      </c>
      <c r="BN60" s="1143">
        <f t="shared" si="11"/>
        <v>0.94908578086666662</v>
      </c>
      <c r="BO60" s="1049"/>
      <c r="BP60" s="1409" t="s">
        <v>2278</v>
      </c>
      <c r="BQ60" s="1410" t="s">
        <v>2328</v>
      </c>
      <c r="BR60" s="1469" t="s">
        <v>2329</v>
      </c>
    </row>
    <row r="61" spans="1:70" ht="69.599999999999994" thickBot="1">
      <c r="A61" s="1510" t="s">
        <v>2330</v>
      </c>
      <c r="B61" s="1427" t="s">
        <v>2331</v>
      </c>
      <c r="C61" s="1055" t="s">
        <v>2181</v>
      </c>
      <c r="D61" s="1424">
        <v>1</v>
      </c>
      <c r="E61" s="1425">
        <v>0</v>
      </c>
      <c r="F61" s="1425">
        <v>0</v>
      </c>
      <c r="G61" s="1425">
        <v>1</v>
      </c>
      <c r="H61" s="1511">
        <v>1</v>
      </c>
      <c r="I61" s="1060"/>
      <c r="J61" s="1060"/>
      <c r="K61" s="1060"/>
      <c r="L61" s="1060"/>
      <c r="M61" s="1061"/>
      <c r="N61" s="1061"/>
      <c r="O61" s="1061"/>
      <c r="P61" s="1062">
        <f t="shared" ref="P61:S63" si="118">IF((H61+L61)/D61&gt;=100%,100%,(H61+L61)/D61)</f>
        <v>1</v>
      </c>
      <c r="Q61" s="1062"/>
      <c r="R61" s="1062" t="e">
        <f t="shared" si="118"/>
        <v>#DIV/0!</v>
      </c>
      <c r="S61" s="1062">
        <f t="shared" si="118"/>
        <v>0</v>
      </c>
      <c r="T61" s="1063"/>
      <c r="U61" s="1034">
        <v>46022</v>
      </c>
      <c r="V61" s="1035">
        <f t="shared" si="115"/>
        <v>2</v>
      </c>
      <c r="W61" s="1035">
        <f t="shared" si="116"/>
        <v>1</v>
      </c>
      <c r="X61" s="1327">
        <f t="shared" ref="X61:X63" si="119">IF(W61/V61&gt;=100%,100%,W61/V61)</f>
        <v>0.5</v>
      </c>
      <c r="Y61" s="1065">
        <v>0.3</v>
      </c>
      <c r="Z61" s="1065">
        <v>0.45</v>
      </c>
      <c r="AA61" s="1065">
        <v>0</v>
      </c>
      <c r="AB61" s="1065">
        <v>0</v>
      </c>
      <c r="AC61" s="1065">
        <v>0</v>
      </c>
      <c r="AD61" s="1066">
        <f>528500000+(266235532.865753/2)</f>
        <v>661617766.43287647</v>
      </c>
      <c r="AE61" s="1066"/>
      <c r="AF61" s="1066">
        <v>0</v>
      </c>
      <c r="AG61" s="1066">
        <v>1000000000</v>
      </c>
      <c r="AH61" s="1075">
        <f>528500000+(266235532.865753/2)</f>
        <v>661617766.43287647</v>
      </c>
      <c r="AI61" s="1075"/>
      <c r="AJ61" s="1075"/>
      <c r="AK61" s="1075"/>
      <c r="AL61" s="1173">
        <f t="shared" si="14"/>
        <v>1</v>
      </c>
      <c r="AM61" s="1173" t="e">
        <f t="shared" si="14"/>
        <v>#DIV/0!</v>
      </c>
      <c r="AN61" s="1173" t="e">
        <f t="shared" si="14"/>
        <v>#DIV/0!</v>
      </c>
      <c r="AO61" s="1173">
        <f t="shared" si="14"/>
        <v>0</v>
      </c>
      <c r="AP61" s="1087">
        <f>519500000+(240038936.564274/2)</f>
        <v>639519468.28213704</v>
      </c>
      <c r="AQ61" s="1068"/>
      <c r="AR61" s="1419"/>
      <c r="AS61" s="1069"/>
      <c r="AT61" s="1140">
        <f t="shared" si="15"/>
        <v>0.96659959984163846</v>
      </c>
      <c r="AU61" s="1140" t="e">
        <f t="shared" si="15"/>
        <v>#DIV/0!</v>
      </c>
      <c r="AV61" s="1140" t="e">
        <f t="shared" si="15"/>
        <v>#DIV/0!</v>
      </c>
      <c r="AW61" s="1140">
        <f t="shared" si="15"/>
        <v>0</v>
      </c>
      <c r="AX61" s="1044">
        <f t="shared" si="117"/>
        <v>22098298.150739431</v>
      </c>
      <c r="AY61" s="1044">
        <f t="shared" si="117"/>
        <v>0</v>
      </c>
      <c r="AZ61" s="1044">
        <f t="shared" si="117"/>
        <v>0</v>
      </c>
      <c r="BA61" s="1044">
        <f t="shared" si="117"/>
        <v>0</v>
      </c>
      <c r="BB61" s="1075"/>
      <c r="BC61" s="1075"/>
      <c r="BD61" s="1075"/>
      <c r="BE61" s="1075"/>
      <c r="BF61" s="1071">
        <f t="shared" si="17"/>
        <v>0</v>
      </c>
      <c r="BG61" s="1071" t="e">
        <f t="shared" si="17"/>
        <v>#DIV/0!</v>
      </c>
      <c r="BH61" s="1071" t="e">
        <f t="shared" si="17"/>
        <v>#DIV/0!</v>
      </c>
      <c r="BI61" s="1071" t="e">
        <f t="shared" si="17"/>
        <v>#DIV/0!</v>
      </c>
      <c r="BJ61" s="1075">
        <f t="shared" si="7"/>
        <v>1661617766.4328766</v>
      </c>
      <c r="BK61" s="1091">
        <f t="shared" si="8"/>
        <v>661617766.43287647</v>
      </c>
      <c r="BL61" s="1092">
        <f t="shared" si="9"/>
        <v>0.39817687304416738</v>
      </c>
      <c r="BM61" s="1091">
        <f t="shared" si="10"/>
        <v>639519468.28213704</v>
      </c>
      <c r="BN61" s="1093">
        <f t="shared" si="11"/>
        <v>0.38487760615068706</v>
      </c>
      <c r="BO61" s="1075" t="s">
        <v>2284</v>
      </c>
      <c r="BP61" s="1512" t="s">
        <v>2278</v>
      </c>
      <c r="BQ61" s="1420" t="s">
        <v>2332</v>
      </c>
      <c r="BR61" s="1421" t="s">
        <v>2329</v>
      </c>
    </row>
    <row r="62" spans="1:70" ht="50.25" customHeight="1" thickBot="1">
      <c r="A62" s="1510" t="s">
        <v>2333</v>
      </c>
      <c r="B62" s="1513" t="s">
        <v>2334</v>
      </c>
      <c r="C62" s="1055" t="s">
        <v>2181</v>
      </c>
      <c r="D62" s="1413">
        <v>0</v>
      </c>
      <c r="E62" s="1414">
        <v>0</v>
      </c>
      <c r="F62" s="1414">
        <v>1</v>
      </c>
      <c r="G62" s="1415">
        <v>0</v>
      </c>
      <c r="H62" s="1514"/>
      <c r="I62" s="1060"/>
      <c r="J62" s="1515"/>
      <c r="K62" s="1515"/>
      <c r="L62" s="1060"/>
      <c r="M62" s="1061"/>
      <c r="N62" s="1061"/>
      <c r="O62" s="1061"/>
      <c r="P62" s="1062"/>
      <c r="Q62" s="1062"/>
      <c r="R62" s="1062">
        <f t="shared" si="118"/>
        <v>0</v>
      </c>
      <c r="S62" s="1062" t="e">
        <f t="shared" si="118"/>
        <v>#DIV/0!</v>
      </c>
      <c r="T62" s="1080"/>
      <c r="U62" s="1034">
        <v>46022</v>
      </c>
      <c r="V62" s="1035">
        <f t="shared" si="115"/>
        <v>1</v>
      </c>
      <c r="W62" s="1035">
        <f t="shared" si="116"/>
        <v>0</v>
      </c>
      <c r="X62" s="1327">
        <f t="shared" si="119"/>
        <v>0</v>
      </c>
      <c r="Y62" s="1065">
        <v>0.15</v>
      </c>
      <c r="Z62" s="1065">
        <v>0</v>
      </c>
      <c r="AA62" s="1065">
        <v>0</v>
      </c>
      <c r="AB62" s="1065">
        <v>0</v>
      </c>
      <c r="AC62" s="1065">
        <v>0</v>
      </c>
      <c r="AD62" s="1066"/>
      <c r="AE62" s="1066"/>
      <c r="AF62" s="1066">
        <v>950000000</v>
      </c>
      <c r="AG62" s="1066">
        <v>0</v>
      </c>
      <c r="AH62" s="1075"/>
      <c r="AI62" s="1075"/>
      <c r="AJ62" s="1075"/>
      <c r="AK62" s="1075"/>
      <c r="AL62" s="1112" t="e">
        <f t="shared" si="14"/>
        <v>#DIV/0!</v>
      </c>
      <c r="AM62" s="1112" t="e">
        <f t="shared" si="14"/>
        <v>#DIV/0!</v>
      </c>
      <c r="AN62" s="1112">
        <f t="shared" si="14"/>
        <v>0</v>
      </c>
      <c r="AO62" s="1112" t="e">
        <f t="shared" si="14"/>
        <v>#DIV/0!</v>
      </c>
      <c r="AP62" s="1087"/>
      <c r="AQ62" s="1068"/>
      <c r="AR62" s="1419"/>
      <c r="AS62" s="1069"/>
      <c r="AT62" s="1140" t="e">
        <f t="shared" si="15"/>
        <v>#DIV/0!</v>
      </c>
      <c r="AU62" s="1140" t="e">
        <f t="shared" si="15"/>
        <v>#DIV/0!</v>
      </c>
      <c r="AV62" s="1140">
        <f t="shared" si="15"/>
        <v>0</v>
      </c>
      <c r="AW62" s="1140" t="e">
        <f t="shared" si="15"/>
        <v>#DIV/0!</v>
      </c>
      <c r="AX62" s="1044">
        <f t="shared" si="117"/>
        <v>0</v>
      </c>
      <c r="AY62" s="1044">
        <f t="shared" si="117"/>
        <v>0</v>
      </c>
      <c r="AZ62" s="1044">
        <f t="shared" si="117"/>
        <v>0</v>
      </c>
      <c r="BA62" s="1044">
        <f t="shared" si="117"/>
        <v>0</v>
      </c>
      <c r="BB62" s="1075"/>
      <c r="BC62" s="1075"/>
      <c r="BD62" s="1075"/>
      <c r="BE62" s="1075"/>
      <c r="BF62" s="1071" t="e">
        <f t="shared" si="17"/>
        <v>#DIV/0!</v>
      </c>
      <c r="BG62" s="1071" t="e">
        <f t="shared" si="17"/>
        <v>#DIV/0!</v>
      </c>
      <c r="BH62" s="1071" t="e">
        <f t="shared" si="17"/>
        <v>#DIV/0!</v>
      </c>
      <c r="BI62" s="1071" t="e">
        <f t="shared" si="17"/>
        <v>#DIV/0!</v>
      </c>
      <c r="BJ62" s="1075">
        <f t="shared" si="7"/>
        <v>950000000</v>
      </c>
      <c r="BK62" s="1091">
        <f t="shared" si="8"/>
        <v>0</v>
      </c>
      <c r="BL62" s="1092">
        <f t="shared" si="9"/>
        <v>0</v>
      </c>
      <c r="BM62" s="1091">
        <f t="shared" si="10"/>
        <v>0</v>
      </c>
      <c r="BN62" s="1093">
        <f t="shared" si="11"/>
        <v>0</v>
      </c>
      <c r="BO62" s="1075"/>
      <c r="BP62" s="1321" t="s">
        <v>2278</v>
      </c>
      <c r="BQ62" s="1420" t="s">
        <v>2332</v>
      </c>
      <c r="BR62" s="1421" t="s">
        <v>2329</v>
      </c>
    </row>
    <row r="63" spans="1:70" ht="27.75" customHeight="1" thickBot="1">
      <c r="A63" s="1516" t="s">
        <v>2335</v>
      </c>
      <c r="B63" s="1430" t="s">
        <v>2336</v>
      </c>
      <c r="C63" s="1152" t="s">
        <v>2181</v>
      </c>
      <c r="D63" s="1477">
        <v>1</v>
      </c>
      <c r="E63" s="1478">
        <v>1</v>
      </c>
      <c r="F63" s="1478">
        <v>1</v>
      </c>
      <c r="G63" s="1479">
        <v>1</v>
      </c>
      <c r="H63" s="1480">
        <v>1</v>
      </c>
      <c r="I63" s="1182">
        <v>1</v>
      </c>
      <c r="J63" s="1182"/>
      <c r="K63" s="1182"/>
      <c r="L63" s="1182"/>
      <c r="M63" s="1101"/>
      <c r="N63" s="1101"/>
      <c r="O63" s="1101"/>
      <c r="P63" s="1102">
        <f t="shared" si="118"/>
        <v>1</v>
      </c>
      <c r="Q63" s="1102">
        <f t="shared" si="118"/>
        <v>1</v>
      </c>
      <c r="R63" s="1102">
        <f t="shared" si="118"/>
        <v>0</v>
      </c>
      <c r="S63" s="1102">
        <f t="shared" si="118"/>
        <v>0</v>
      </c>
      <c r="T63" s="1517" t="s">
        <v>2337</v>
      </c>
      <c r="U63" s="1034">
        <v>46022</v>
      </c>
      <c r="V63" s="1035">
        <f t="shared" si="115"/>
        <v>4</v>
      </c>
      <c r="W63" s="1035">
        <f t="shared" si="116"/>
        <v>2</v>
      </c>
      <c r="X63" s="1291">
        <f t="shared" si="119"/>
        <v>0.5</v>
      </c>
      <c r="Y63" s="1104">
        <v>0.45</v>
      </c>
      <c r="Z63" s="1104">
        <v>0.55000000000000004</v>
      </c>
      <c r="AA63" s="1104">
        <v>0.75</v>
      </c>
      <c r="AB63" s="1104">
        <v>0.75</v>
      </c>
      <c r="AC63" s="1104">
        <v>0.75</v>
      </c>
      <c r="AD63" s="1106">
        <f>437500000+(266235532.865753/2)</f>
        <v>570617766.43287647</v>
      </c>
      <c r="AE63" s="1106">
        <v>623250000</v>
      </c>
      <c r="AF63" s="1106">
        <v>712500000</v>
      </c>
      <c r="AG63" s="1106">
        <v>750000000</v>
      </c>
      <c r="AH63" s="1106">
        <f>437200000+(266235532.865753/2)</f>
        <v>570317766.43287647</v>
      </c>
      <c r="AI63" s="1106">
        <v>623250000</v>
      </c>
      <c r="AJ63" s="1106"/>
      <c r="AK63" s="1106"/>
      <c r="AL63" s="1295">
        <f t="shared" si="14"/>
        <v>0.9994742540144248</v>
      </c>
      <c r="AM63" s="1295">
        <f t="shared" si="14"/>
        <v>1</v>
      </c>
      <c r="AN63" s="1295">
        <f t="shared" si="14"/>
        <v>0</v>
      </c>
      <c r="AO63" s="1295">
        <f t="shared" si="14"/>
        <v>0</v>
      </c>
      <c r="AP63" s="1109">
        <f>122600000+(240038936.564274/2)</f>
        <v>242619468.28213701</v>
      </c>
      <c r="AQ63" s="1108">
        <v>616343260.83000004</v>
      </c>
      <c r="AR63" s="1434"/>
      <c r="AS63" s="1188"/>
      <c r="AT63" s="1189">
        <f t="shared" si="15"/>
        <v>0.42518737157245012</v>
      </c>
      <c r="AU63" s="1189">
        <f t="shared" si="15"/>
        <v>0.98891818825511435</v>
      </c>
      <c r="AV63" s="1189">
        <f t="shared" si="15"/>
        <v>0</v>
      </c>
      <c r="AW63" s="1189">
        <f t="shared" si="15"/>
        <v>0</v>
      </c>
      <c r="AX63" s="1044">
        <f t="shared" si="117"/>
        <v>327698298.15073943</v>
      </c>
      <c r="AY63" s="1044">
        <f t="shared" si="117"/>
        <v>6906739.1699999571</v>
      </c>
      <c r="AZ63" s="1044">
        <f t="shared" si="117"/>
        <v>0</v>
      </c>
      <c r="BA63" s="1044">
        <f t="shared" si="117"/>
        <v>0</v>
      </c>
      <c r="BB63" s="1107"/>
      <c r="BC63" s="1107"/>
      <c r="BD63" s="1107"/>
      <c r="BE63" s="1107"/>
      <c r="BF63" s="1190">
        <f t="shared" si="17"/>
        <v>0</v>
      </c>
      <c r="BG63" s="1190">
        <f t="shared" si="17"/>
        <v>0</v>
      </c>
      <c r="BH63" s="1190" t="e">
        <f t="shared" si="17"/>
        <v>#DIV/0!</v>
      </c>
      <c r="BI63" s="1190" t="e">
        <f t="shared" si="17"/>
        <v>#DIV/0!</v>
      </c>
      <c r="BJ63" s="1107">
        <f t="shared" si="7"/>
        <v>2656367766.4328766</v>
      </c>
      <c r="BK63" s="1110">
        <f t="shared" si="8"/>
        <v>1193567766.4328766</v>
      </c>
      <c r="BL63" s="1111">
        <f t="shared" si="9"/>
        <v>0.4493232381130976</v>
      </c>
      <c r="BM63" s="1110">
        <f t="shared" si="10"/>
        <v>858962729.11213708</v>
      </c>
      <c r="BN63" s="1112">
        <f t="shared" si="11"/>
        <v>0.323359867547859</v>
      </c>
      <c r="BO63" s="1075" t="s">
        <v>2284</v>
      </c>
      <c r="BP63" s="1435" t="s">
        <v>2278</v>
      </c>
      <c r="BQ63" s="1436" t="s">
        <v>2332</v>
      </c>
      <c r="BR63" s="1437" t="s">
        <v>2329</v>
      </c>
    </row>
    <row r="64" spans="1:70" ht="77.25" customHeight="1" thickBot="1">
      <c r="A64" s="1438" t="s">
        <v>2338</v>
      </c>
      <c r="B64" s="1438"/>
      <c r="C64" s="1439"/>
      <c r="D64" s="1439"/>
      <c r="E64" s="1440"/>
      <c r="F64" s="1440"/>
      <c r="G64" s="1440"/>
      <c r="H64" s="1440"/>
      <c r="I64" s="1440"/>
      <c r="J64" s="1440"/>
      <c r="K64" s="1440"/>
      <c r="L64" s="1440"/>
      <c r="M64" s="1440"/>
      <c r="N64" s="1440"/>
      <c r="O64" s="1440"/>
      <c r="P64" s="1441">
        <f>+SUMPRODUCT(P65:P67,Z65:Z67)</f>
        <v>0.82295081967213113</v>
      </c>
      <c r="Q64" s="1442">
        <f>+SUMPRODUCT(Q65:Q67,AA65:AA67)</f>
        <v>1</v>
      </c>
      <c r="R64" s="1443">
        <f>+SUMPRODUCT(R65:R67,AB65:AB67)</f>
        <v>0</v>
      </c>
      <c r="S64" s="1443">
        <f>+SUMPRODUCT(S65:S67,AC65:AC67)</f>
        <v>0</v>
      </c>
      <c r="T64" s="1444"/>
      <c r="U64" s="1438"/>
      <c r="V64" s="1445"/>
      <c r="W64" s="1445"/>
      <c r="X64" s="1441">
        <f>+SUMPRODUCT(X65:X67,Y65:Y67)</f>
        <v>0.43421246241443284</v>
      </c>
      <c r="Y64" s="1442">
        <v>0.3</v>
      </c>
      <c r="Z64" s="1442">
        <v>0.31</v>
      </c>
      <c r="AA64" s="1442">
        <v>0.32</v>
      </c>
      <c r="AB64" s="1442">
        <v>0.32</v>
      </c>
      <c r="AC64" s="1442">
        <v>0.32</v>
      </c>
      <c r="AD64" s="1445">
        <f>SUM(AD65:AD67)</f>
        <v>955429000.12054801</v>
      </c>
      <c r="AE64" s="1445">
        <f>SUM(AE65:AE67)</f>
        <v>1053000000</v>
      </c>
      <c r="AF64" s="1445">
        <f t="shared" ref="AF64:AG64" si="120">SUM(AF65:AF67)</f>
        <v>1187500000</v>
      </c>
      <c r="AG64" s="1445">
        <f t="shared" si="120"/>
        <v>1220000000</v>
      </c>
      <c r="AH64" s="1445">
        <f>SUM(AH65:AH67)</f>
        <v>955429000.12054801</v>
      </c>
      <c r="AI64" s="1445">
        <f t="shared" ref="AI64:AK64" si="121">SUM(AI65:AI67)</f>
        <v>1053000000</v>
      </c>
      <c r="AJ64" s="1445">
        <f t="shared" si="121"/>
        <v>0</v>
      </c>
      <c r="AK64" s="1445">
        <f t="shared" si="121"/>
        <v>0</v>
      </c>
      <c r="AL64" s="1518">
        <f t="shared" si="14"/>
        <v>1</v>
      </c>
      <c r="AM64" s="1518">
        <f t="shared" si="14"/>
        <v>1</v>
      </c>
      <c r="AN64" s="1518">
        <f t="shared" si="14"/>
        <v>0</v>
      </c>
      <c r="AO64" s="1518">
        <f t="shared" si="14"/>
        <v>0</v>
      </c>
      <c r="AP64" s="1445">
        <f t="shared" ref="AP64:AS64" si="122">SUM(AP65:AP67)</f>
        <v>757717146.46650195</v>
      </c>
      <c r="AQ64" s="1445">
        <f t="shared" si="122"/>
        <v>1033422632.4000001</v>
      </c>
      <c r="AR64" s="1445">
        <f t="shared" si="122"/>
        <v>0</v>
      </c>
      <c r="AS64" s="1445">
        <f t="shared" si="122"/>
        <v>0</v>
      </c>
      <c r="AT64" s="1447">
        <f t="shared" si="15"/>
        <v>0.79306483932442873</v>
      </c>
      <c r="AU64" s="1447">
        <f t="shared" si="15"/>
        <v>0.98140800797720806</v>
      </c>
      <c r="AV64" s="1447">
        <f t="shared" si="15"/>
        <v>0</v>
      </c>
      <c r="AW64" s="1447">
        <f t="shared" si="15"/>
        <v>0</v>
      </c>
      <c r="AX64" s="1445">
        <f t="shared" ref="AX64:BE64" si="123">SUM(AX65:AX67)</f>
        <v>197711853.654046</v>
      </c>
      <c r="AY64" s="1445">
        <f t="shared" si="123"/>
        <v>19577367.599999964</v>
      </c>
      <c r="AZ64" s="1445">
        <f t="shared" si="123"/>
        <v>0</v>
      </c>
      <c r="BA64" s="1445">
        <f t="shared" si="123"/>
        <v>0</v>
      </c>
      <c r="BB64" s="1445">
        <f t="shared" si="123"/>
        <v>0</v>
      </c>
      <c r="BC64" s="1445">
        <f t="shared" si="123"/>
        <v>0</v>
      </c>
      <c r="BD64" s="1445">
        <f t="shared" si="123"/>
        <v>0</v>
      </c>
      <c r="BE64" s="1445">
        <f t="shared" si="123"/>
        <v>0</v>
      </c>
      <c r="BF64" s="1442">
        <f t="shared" si="17"/>
        <v>0</v>
      </c>
      <c r="BG64" s="1442">
        <f t="shared" si="17"/>
        <v>0</v>
      </c>
      <c r="BH64" s="1442" t="e">
        <f t="shared" si="17"/>
        <v>#DIV/0!</v>
      </c>
      <c r="BI64" s="1442" t="e">
        <f t="shared" si="17"/>
        <v>#DIV/0!</v>
      </c>
      <c r="BJ64" s="1445">
        <f t="shared" si="7"/>
        <v>4415929000.1205482</v>
      </c>
      <c r="BK64" s="1448">
        <f t="shared" si="8"/>
        <v>2008429000.120548</v>
      </c>
      <c r="BL64" s="1442">
        <f t="shared" si="9"/>
        <v>0.45481460414461394</v>
      </c>
      <c r="BM64" s="1448">
        <f t="shared" si="10"/>
        <v>1791139778.866502</v>
      </c>
      <c r="BN64" s="1447">
        <f t="shared" si="11"/>
        <v>0.40560882632343198</v>
      </c>
      <c r="BO64" s="1439"/>
      <c r="BP64" s="1463"/>
      <c r="BQ64" s="1464"/>
      <c r="BR64" s="1465"/>
    </row>
    <row r="65" spans="1:70" ht="82.2" thickBot="1">
      <c r="A65" s="1023" t="s">
        <v>2339</v>
      </c>
      <c r="B65" s="1519" t="s">
        <v>2340</v>
      </c>
      <c r="C65" s="1025" t="s">
        <v>2181</v>
      </c>
      <c r="D65" s="1520">
        <v>10</v>
      </c>
      <c r="E65" s="1521">
        <v>15</v>
      </c>
      <c r="F65" s="1521">
        <v>15</v>
      </c>
      <c r="G65" s="1522">
        <v>9</v>
      </c>
      <c r="H65" s="1523">
        <v>10</v>
      </c>
      <c r="I65" s="1030">
        <v>15</v>
      </c>
      <c r="J65" s="1030"/>
      <c r="K65" s="1030"/>
      <c r="L65" s="1030"/>
      <c r="M65" s="1031"/>
      <c r="N65" s="1031"/>
      <c r="O65" s="1031"/>
      <c r="P65" s="1032">
        <f t="shared" ref="P65:S67" si="124">IF((H65+L65)/D65&gt;=100%,100%,(H65+L65)/D65)</f>
        <v>1</v>
      </c>
      <c r="Q65" s="1032">
        <f t="shared" si="124"/>
        <v>1</v>
      </c>
      <c r="R65" s="1032">
        <f t="shared" si="124"/>
        <v>0</v>
      </c>
      <c r="S65" s="1524">
        <f t="shared" si="124"/>
        <v>0</v>
      </c>
      <c r="T65" s="1525" t="s">
        <v>2341</v>
      </c>
      <c r="U65" s="1034">
        <v>46022</v>
      </c>
      <c r="V65" s="1035">
        <f t="shared" ref="V65:V67" si="125">SUM(D65:G65)</f>
        <v>49</v>
      </c>
      <c r="W65" s="1035">
        <f t="shared" ref="W65:W67" si="126">SUM(H65:N65)</f>
        <v>25</v>
      </c>
      <c r="X65" s="1036">
        <f>IF(W65/V65&gt;=100%,100%,W65/V65)</f>
        <v>0.51020408163265307</v>
      </c>
      <c r="Y65" s="1037">
        <v>0.25</v>
      </c>
      <c r="Z65" s="1037">
        <v>0.25</v>
      </c>
      <c r="AA65" s="1037">
        <v>0.25</v>
      </c>
      <c r="AB65" s="1037">
        <v>0.25</v>
      </c>
      <c r="AC65" s="1037">
        <v>0.25</v>
      </c>
      <c r="AD65" s="1137">
        <f>187250000+(206429000.120548/3)</f>
        <v>256059666.70684934</v>
      </c>
      <c r="AE65" s="1137">
        <f>1053000000/3</f>
        <v>351000000</v>
      </c>
      <c r="AF65" s="1137">
        <v>332500000</v>
      </c>
      <c r="AG65" s="1137">
        <v>300000000</v>
      </c>
      <c r="AH65" s="1137">
        <f>187250000+(206429000.120548/3)</f>
        <v>256059666.70684934</v>
      </c>
      <c r="AI65" s="1137">
        <f>1053000000/3</f>
        <v>351000000</v>
      </c>
      <c r="AJ65" s="1137"/>
      <c r="AK65" s="1137"/>
      <c r="AL65" s="1039">
        <f t="shared" si="14"/>
        <v>1</v>
      </c>
      <c r="AM65" s="1039">
        <f t="shared" si="14"/>
        <v>1</v>
      </c>
      <c r="AN65" s="1039">
        <f t="shared" si="14"/>
        <v>0</v>
      </c>
      <c r="AO65" s="1039">
        <f t="shared" si="14"/>
        <v>0</v>
      </c>
      <c r="AP65" s="1138">
        <f>(571600000*0.25)+(186117146.466502/3)</f>
        <v>204939048.82216734</v>
      </c>
      <c r="AQ65" s="1041">
        <f>1033422632.4/3</f>
        <v>344474210.80000001</v>
      </c>
      <c r="AR65" s="1042"/>
      <c r="AS65" s="1042"/>
      <c r="AT65" s="1043">
        <f t="shared" si="15"/>
        <v>0.8003566178846605</v>
      </c>
      <c r="AU65" s="1043">
        <f t="shared" si="15"/>
        <v>0.98140800797720806</v>
      </c>
      <c r="AV65" s="1043">
        <f t="shared" si="15"/>
        <v>0</v>
      </c>
      <c r="AW65" s="1043">
        <f t="shared" si="15"/>
        <v>0</v>
      </c>
      <c r="AX65" s="1044">
        <f t="shared" ref="AX65:BA67" si="127">+AH65-AP65</f>
        <v>51120617.884682</v>
      </c>
      <c r="AY65" s="1044">
        <f t="shared" si="127"/>
        <v>6525789.1999999881</v>
      </c>
      <c r="AZ65" s="1044">
        <f t="shared" si="127"/>
        <v>0</v>
      </c>
      <c r="BA65" s="1044">
        <f t="shared" si="127"/>
        <v>0</v>
      </c>
      <c r="BB65" s="1283"/>
      <c r="BC65" s="1283"/>
      <c r="BD65" s="1283"/>
      <c r="BE65" s="1283"/>
      <c r="BF65" s="1045">
        <f t="shared" si="17"/>
        <v>0</v>
      </c>
      <c r="BG65" s="1045">
        <f t="shared" si="17"/>
        <v>0</v>
      </c>
      <c r="BH65" s="1045" t="e">
        <f t="shared" si="17"/>
        <v>#DIV/0!</v>
      </c>
      <c r="BI65" s="1045" t="e">
        <f t="shared" si="17"/>
        <v>#DIV/0!</v>
      </c>
      <c r="BJ65" s="1283">
        <f t="shared" si="7"/>
        <v>1239559666.7068493</v>
      </c>
      <c r="BK65" s="1046">
        <f t="shared" si="8"/>
        <v>607059666.70684934</v>
      </c>
      <c r="BL65" s="1047">
        <f t="shared" si="9"/>
        <v>0.48973815703412721</v>
      </c>
      <c r="BM65" s="1046">
        <f t="shared" si="10"/>
        <v>549413259.62216735</v>
      </c>
      <c r="BN65" s="1048">
        <f t="shared" si="11"/>
        <v>0.44323260459240266</v>
      </c>
      <c r="BO65" s="1075" t="s">
        <v>2284</v>
      </c>
      <c r="BP65" s="1409" t="s">
        <v>2278</v>
      </c>
      <c r="BQ65" s="1410" t="s">
        <v>2342</v>
      </c>
      <c r="BR65" s="1469" t="s">
        <v>2343</v>
      </c>
    </row>
    <row r="66" spans="1:70" ht="316.8" thickBot="1">
      <c r="A66" s="1297" t="s">
        <v>2344</v>
      </c>
      <c r="B66" s="1423" t="s">
        <v>2345</v>
      </c>
      <c r="C66" s="1055" t="s">
        <v>2181</v>
      </c>
      <c r="D66" s="1526">
        <v>61</v>
      </c>
      <c r="E66" s="1527">
        <v>71</v>
      </c>
      <c r="F66" s="1527">
        <v>86</v>
      </c>
      <c r="G66" s="1528">
        <v>101</v>
      </c>
      <c r="H66" s="1166">
        <v>34</v>
      </c>
      <c r="I66" s="1060">
        <v>71</v>
      </c>
      <c r="J66" s="1060"/>
      <c r="K66" s="1060"/>
      <c r="L66" s="1060"/>
      <c r="M66" s="1061"/>
      <c r="N66" s="1061"/>
      <c r="O66" s="1061"/>
      <c r="P66" s="1062">
        <f t="shared" si="124"/>
        <v>0.55737704918032782</v>
      </c>
      <c r="Q66" s="1062">
        <f t="shared" si="124"/>
        <v>1</v>
      </c>
      <c r="R66" s="1062">
        <f t="shared" si="124"/>
        <v>0</v>
      </c>
      <c r="S66" s="1529">
        <f t="shared" si="124"/>
        <v>0</v>
      </c>
      <c r="T66" s="1530" t="s">
        <v>2346</v>
      </c>
      <c r="U66" s="1034">
        <v>46022</v>
      </c>
      <c r="V66" s="1035">
        <f t="shared" si="125"/>
        <v>319</v>
      </c>
      <c r="W66" s="1035">
        <f t="shared" si="126"/>
        <v>105</v>
      </c>
      <c r="X66" s="1064">
        <f t="shared" ref="X66:X67" si="128">IF(W66/V66&gt;=100%,100%,W66/V66)</f>
        <v>0.32915360501567398</v>
      </c>
      <c r="Y66" s="1065">
        <v>0.4</v>
      </c>
      <c r="Z66" s="1065">
        <v>0.4</v>
      </c>
      <c r="AA66" s="1065">
        <v>0.4</v>
      </c>
      <c r="AB66" s="1065">
        <v>0.4</v>
      </c>
      <c r="AC66" s="1065">
        <v>0.4</v>
      </c>
      <c r="AD66" s="1066">
        <f>299600000+(206429000.120548/3)</f>
        <v>368409666.70684934</v>
      </c>
      <c r="AE66" s="1137">
        <f>1053000000/3</f>
        <v>351000000</v>
      </c>
      <c r="AF66" s="1137">
        <v>475000000</v>
      </c>
      <c r="AG66" s="1137">
        <v>520000000</v>
      </c>
      <c r="AH66" s="1066">
        <f>299600000+(206429000.120548/3)</f>
        <v>368409666.70684934</v>
      </c>
      <c r="AI66" s="1137">
        <f t="shared" ref="AI66:AI67" si="129">1053000000/3</f>
        <v>351000000</v>
      </c>
      <c r="AJ66" s="1137"/>
      <c r="AK66" s="1137"/>
      <c r="AL66" s="1173">
        <f t="shared" si="14"/>
        <v>1</v>
      </c>
      <c r="AM66" s="1173">
        <f t="shared" si="14"/>
        <v>1</v>
      </c>
      <c r="AN66" s="1173">
        <f t="shared" si="14"/>
        <v>0</v>
      </c>
      <c r="AO66" s="1173">
        <f t="shared" si="14"/>
        <v>0</v>
      </c>
      <c r="AP66" s="1087">
        <f>(571600000*0.4)+(186117146.466502/3)</f>
        <v>290679048.82216734</v>
      </c>
      <c r="AQ66" s="1041">
        <f>1033422632.4/3</f>
        <v>344474210.80000001</v>
      </c>
      <c r="AR66" s="1069"/>
      <c r="AS66" s="1069"/>
      <c r="AT66" s="1140">
        <f t="shared" si="15"/>
        <v>0.78901037375185445</v>
      </c>
      <c r="AU66" s="1140">
        <f t="shared" si="15"/>
        <v>0.98140800797720806</v>
      </c>
      <c r="AV66" s="1140">
        <f t="shared" si="15"/>
        <v>0</v>
      </c>
      <c r="AW66" s="1140">
        <f t="shared" si="15"/>
        <v>0</v>
      </c>
      <c r="AX66" s="1044">
        <f t="shared" si="127"/>
        <v>77730617.884682</v>
      </c>
      <c r="AY66" s="1044">
        <f t="shared" si="127"/>
        <v>6525789.1999999881</v>
      </c>
      <c r="AZ66" s="1044">
        <f t="shared" si="127"/>
        <v>0</v>
      </c>
      <c r="BA66" s="1044">
        <f t="shared" si="127"/>
        <v>0</v>
      </c>
      <c r="BB66" s="1070"/>
      <c r="BC66" s="1070"/>
      <c r="BD66" s="1070"/>
      <c r="BE66" s="1070"/>
      <c r="BF66" s="1071">
        <f t="shared" si="17"/>
        <v>0</v>
      </c>
      <c r="BG66" s="1071">
        <f t="shared" si="17"/>
        <v>0</v>
      </c>
      <c r="BH66" s="1071" t="e">
        <f t="shared" si="17"/>
        <v>#DIV/0!</v>
      </c>
      <c r="BI66" s="1071" t="e">
        <f t="shared" si="17"/>
        <v>#DIV/0!</v>
      </c>
      <c r="BJ66" s="1070">
        <f t="shared" si="7"/>
        <v>1714409666.7068493</v>
      </c>
      <c r="BK66" s="1072">
        <f t="shared" si="8"/>
        <v>719409666.70684934</v>
      </c>
      <c r="BL66" s="1073">
        <f t="shared" si="9"/>
        <v>0.41962529766222018</v>
      </c>
      <c r="BM66" s="1072">
        <f t="shared" si="10"/>
        <v>635153259.62216735</v>
      </c>
      <c r="BN66" s="1074">
        <f t="shared" si="11"/>
        <v>0.37047928039405625</v>
      </c>
      <c r="BO66" s="1075" t="s">
        <v>2284</v>
      </c>
      <c r="BP66" s="1321" t="s">
        <v>2278</v>
      </c>
      <c r="BQ66" s="1531" t="s">
        <v>2342</v>
      </c>
      <c r="BR66" s="1469" t="s">
        <v>2343</v>
      </c>
    </row>
    <row r="67" spans="1:70" ht="265.8" thickBot="1">
      <c r="A67" s="1532" t="s">
        <v>2347</v>
      </c>
      <c r="B67" s="1430" t="s">
        <v>2348</v>
      </c>
      <c r="C67" s="1152" t="s">
        <v>2181</v>
      </c>
      <c r="D67" s="1477">
        <v>1</v>
      </c>
      <c r="E67" s="1478">
        <v>1</v>
      </c>
      <c r="F67" s="1478">
        <v>1</v>
      </c>
      <c r="G67" s="1479">
        <v>1</v>
      </c>
      <c r="H67" s="1480">
        <v>1</v>
      </c>
      <c r="I67" s="1182">
        <v>1</v>
      </c>
      <c r="J67" s="1182"/>
      <c r="K67" s="1182"/>
      <c r="L67" s="1182"/>
      <c r="M67" s="1101"/>
      <c r="N67" s="1101"/>
      <c r="O67" s="1101"/>
      <c r="P67" s="1102">
        <f t="shared" si="124"/>
        <v>1</v>
      </c>
      <c r="Q67" s="1102">
        <f t="shared" si="124"/>
        <v>1</v>
      </c>
      <c r="R67" s="1102">
        <f t="shared" si="124"/>
        <v>0</v>
      </c>
      <c r="S67" s="1533">
        <f t="shared" si="124"/>
        <v>0</v>
      </c>
      <c r="T67" s="1534" t="s">
        <v>2349</v>
      </c>
      <c r="U67" s="1034">
        <v>46022</v>
      </c>
      <c r="V67" s="1035">
        <f t="shared" si="125"/>
        <v>4</v>
      </c>
      <c r="W67" s="1035">
        <f t="shared" si="126"/>
        <v>2</v>
      </c>
      <c r="X67" s="1157">
        <f t="shared" si="128"/>
        <v>0.5</v>
      </c>
      <c r="Y67" s="1104">
        <v>0.35</v>
      </c>
      <c r="Z67" s="1104">
        <v>0.35</v>
      </c>
      <c r="AA67" s="1104">
        <v>0.35</v>
      </c>
      <c r="AB67" s="1104">
        <v>0.35</v>
      </c>
      <c r="AC67" s="1104">
        <v>0.35</v>
      </c>
      <c r="AD67" s="1106">
        <f>262150000+(206429000.120548/3)</f>
        <v>330959666.70684934</v>
      </c>
      <c r="AE67" s="1137">
        <f>1053000000/3</f>
        <v>351000000</v>
      </c>
      <c r="AF67" s="1137">
        <v>380000000</v>
      </c>
      <c r="AG67" s="1137">
        <v>400000000</v>
      </c>
      <c r="AH67" s="1106">
        <f>262150000+(206429000.120548/3)</f>
        <v>330959666.70684934</v>
      </c>
      <c r="AI67" s="1137">
        <f t="shared" si="129"/>
        <v>351000000</v>
      </c>
      <c r="AJ67" s="1137"/>
      <c r="AK67" s="1137"/>
      <c r="AL67" s="1295">
        <f t="shared" si="14"/>
        <v>1</v>
      </c>
      <c r="AM67" s="1295">
        <f t="shared" si="14"/>
        <v>1</v>
      </c>
      <c r="AN67" s="1295">
        <f t="shared" si="14"/>
        <v>0</v>
      </c>
      <c r="AO67" s="1295">
        <f t="shared" si="14"/>
        <v>0</v>
      </c>
      <c r="AP67" s="1109">
        <f>(571600000*0.35)+(186117146.466502/3)</f>
        <v>262099048.82216734</v>
      </c>
      <c r="AQ67" s="1041">
        <f>1033422632.4/3</f>
        <v>344474210.80000001</v>
      </c>
      <c r="AR67" s="1188"/>
      <c r="AS67" s="1188"/>
      <c r="AT67" s="1189">
        <f t="shared" si="15"/>
        <v>0.7919365263753545</v>
      </c>
      <c r="AU67" s="1189">
        <f t="shared" si="15"/>
        <v>0.98140800797720806</v>
      </c>
      <c r="AV67" s="1189">
        <f t="shared" si="15"/>
        <v>0</v>
      </c>
      <c r="AW67" s="1189">
        <f t="shared" si="15"/>
        <v>0</v>
      </c>
      <c r="AX67" s="1044">
        <f t="shared" si="127"/>
        <v>68860617.884682</v>
      </c>
      <c r="AY67" s="1044">
        <f t="shared" si="127"/>
        <v>6525789.1999999881</v>
      </c>
      <c r="AZ67" s="1044">
        <f t="shared" si="127"/>
        <v>0</v>
      </c>
      <c r="BA67" s="1044">
        <f t="shared" si="127"/>
        <v>0</v>
      </c>
      <c r="BB67" s="1107"/>
      <c r="BC67" s="1107"/>
      <c r="BD67" s="1107"/>
      <c r="BE67" s="1107"/>
      <c r="BF67" s="1190">
        <f t="shared" si="17"/>
        <v>0</v>
      </c>
      <c r="BG67" s="1190">
        <f t="shared" si="17"/>
        <v>0</v>
      </c>
      <c r="BH67" s="1190" t="e">
        <f t="shared" si="17"/>
        <v>#DIV/0!</v>
      </c>
      <c r="BI67" s="1190" t="e">
        <f t="shared" si="17"/>
        <v>#DIV/0!</v>
      </c>
      <c r="BJ67" s="1107">
        <f t="shared" si="7"/>
        <v>1461959666.7068493</v>
      </c>
      <c r="BK67" s="1110">
        <f t="shared" si="8"/>
        <v>681959666.70684934</v>
      </c>
      <c r="BL67" s="1111">
        <f t="shared" si="9"/>
        <v>0.46646954922019418</v>
      </c>
      <c r="BM67" s="1110">
        <f t="shared" si="10"/>
        <v>606573259.62216735</v>
      </c>
      <c r="BN67" s="1112">
        <f t="shared" si="11"/>
        <v>0.41490423671434762</v>
      </c>
      <c r="BO67" s="1075" t="s">
        <v>2284</v>
      </c>
      <c r="BP67" s="1435" t="s">
        <v>2278</v>
      </c>
      <c r="BQ67" s="1535" t="s">
        <v>2342</v>
      </c>
      <c r="BR67" s="1437" t="s">
        <v>2343</v>
      </c>
    </row>
    <row r="68" spans="1:70" ht="15.75" customHeight="1" thickBot="1">
      <c r="A68" s="1438" t="s">
        <v>2350</v>
      </c>
      <c r="B68" s="1438"/>
      <c r="C68" s="1439"/>
      <c r="D68" s="1439"/>
      <c r="E68" s="1440"/>
      <c r="F68" s="1440"/>
      <c r="G68" s="1440"/>
      <c r="H68" s="1440"/>
      <c r="I68" s="1440"/>
      <c r="J68" s="1440"/>
      <c r="K68" s="1440"/>
      <c r="L68" s="1440"/>
      <c r="M68" s="1440"/>
      <c r="N68" s="1440"/>
      <c r="O68" s="1440"/>
      <c r="P68" s="1441">
        <f>+SUMPRODUCT(P69:P69,Z69:Z69)</f>
        <v>1</v>
      </c>
      <c r="Q68" s="1442">
        <f>+SUMPRODUCT(Q69:Q69,AA69:AA69)</f>
        <v>0</v>
      </c>
      <c r="R68" s="1443" t="e">
        <f>+SUMPRODUCT(R69:R69,AB69:AB69)</f>
        <v>#DIV/0!</v>
      </c>
      <c r="S68" s="1443" t="e">
        <f>+SUMPRODUCT(S69:S69,AC69:AC69)</f>
        <v>#DIV/0!</v>
      </c>
      <c r="T68" s="1536"/>
      <c r="U68" s="1438"/>
      <c r="V68" s="1445"/>
      <c r="W68" s="1445"/>
      <c r="X68" s="1441">
        <f>+SUMPRODUCT(X69:X69,Y69:Y69)</f>
        <v>1</v>
      </c>
      <c r="Y68" s="1442">
        <v>0.05</v>
      </c>
      <c r="Z68" s="1442">
        <v>7.0000000000000007E-2</v>
      </c>
      <c r="AA68" s="1442">
        <v>0</v>
      </c>
      <c r="AB68" s="1442">
        <v>0</v>
      </c>
      <c r="AC68" s="1442">
        <v>0</v>
      </c>
      <c r="AD68" s="1445">
        <f>SUM(AD69:AD69)</f>
        <v>629511630.92054796</v>
      </c>
      <c r="AE68" s="1445">
        <f>SUM(AE69:AE69)</f>
        <v>0</v>
      </c>
      <c r="AF68" s="1445">
        <f t="shared" ref="AF68:AG68" si="130">SUM(AF69:AF69)</f>
        <v>0</v>
      </c>
      <c r="AG68" s="1445">
        <f t="shared" si="130"/>
        <v>0</v>
      </c>
      <c r="AH68" s="1445">
        <f>SUM(AH69:AH69)</f>
        <v>609511630.92054796</v>
      </c>
      <c r="AI68" s="1445">
        <f t="shared" ref="AI68:AK68" si="131">SUM(AI69:AI69)</f>
        <v>0</v>
      </c>
      <c r="AJ68" s="1445">
        <f t="shared" si="131"/>
        <v>0</v>
      </c>
      <c r="AK68" s="1445">
        <f t="shared" si="131"/>
        <v>0</v>
      </c>
      <c r="AL68" s="1518">
        <f t="shared" si="14"/>
        <v>0.96822933998732708</v>
      </c>
      <c r="AM68" s="1518" t="e">
        <f t="shared" si="14"/>
        <v>#DIV/0!</v>
      </c>
      <c r="AN68" s="1518" t="e">
        <f t="shared" si="14"/>
        <v>#DIV/0!</v>
      </c>
      <c r="AO68" s="1518" t="e">
        <f t="shared" si="14"/>
        <v>#DIV/0!</v>
      </c>
      <c r="AP68" s="1445">
        <f t="shared" ref="AP68:AS68" si="132">SUM(AP69:AP69)</f>
        <v>122628587.15783601</v>
      </c>
      <c r="AQ68" s="1445">
        <f t="shared" si="132"/>
        <v>0</v>
      </c>
      <c r="AR68" s="1445">
        <f t="shared" si="132"/>
        <v>0</v>
      </c>
      <c r="AS68" s="1445">
        <f t="shared" si="132"/>
        <v>0</v>
      </c>
      <c r="AT68" s="1447">
        <f t="shared" si="15"/>
        <v>0.19479955752130215</v>
      </c>
      <c r="AU68" s="1447" t="e">
        <f t="shared" si="15"/>
        <v>#DIV/0!</v>
      </c>
      <c r="AV68" s="1447" t="e">
        <f t="shared" si="15"/>
        <v>#DIV/0!</v>
      </c>
      <c r="AW68" s="1447" t="e">
        <f t="shared" si="15"/>
        <v>#DIV/0!</v>
      </c>
      <c r="AX68" s="1445">
        <f t="shared" ref="AX68:BE68" si="133">SUM(AX69:AX69)</f>
        <v>486883043.76271194</v>
      </c>
      <c r="AY68" s="1445">
        <f t="shared" si="133"/>
        <v>0</v>
      </c>
      <c r="AZ68" s="1445">
        <f t="shared" si="133"/>
        <v>0</v>
      </c>
      <c r="BA68" s="1445">
        <f t="shared" si="133"/>
        <v>0</v>
      </c>
      <c r="BB68" s="1445">
        <f t="shared" si="133"/>
        <v>0</v>
      </c>
      <c r="BC68" s="1445">
        <f t="shared" si="133"/>
        <v>0</v>
      </c>
      <c r="BD68" s="1445">
        <f t="shared" si="133"/>
        <v>0</v>
      </c>
      <c r="BE68" s="1445">
        <f t="shared" si="133"/>
        <v>0</v>
      </c>
      <c r="BF68" s="1442">
        <f t="shared" si="17"/>
        <v>0</v>
      </c>
      <c r="BG68" s="1442" t="e">
        <f t="shared" si="17"/>
        <v>#DIV/0!</v>
      </c>
      <c r="BH68" s="1442" t="e">
        <f t="shared" si="17"/>
        <v>#DIV/0!</v>
      </c>
      <c r="BI68" s="1442" t="e">
        <f t="shared" si="17"/>
        <v>#DIV/0!</v>
      </c>
      <c r="BJ68" s="1445">
        <f t="shared" si="7"/>
        <v>629511630.92054796</v>
      </c>
      <c r="BK68" s="1448">
        <f t="shared" si="8"/>
        <v>609511630.92054796</v>
      </c>
      <c r="BL68" s="1442">
        <f t="shared" si="9"/>
        <v>0.96822933998732708</v>
      </c>
      <c r="BM68" s="1448">
        <f t="shared" si="10"/>
        <v>122628587.15783601</v>
      </c>
      <c r="BN68" s="1447">
        <f t="shared" si="11"/>
        <v>0.19479955752130215</v>
      </c>
      <c r="BO68" s="1439"/>
      <c r="BP68" s="1449"/>
      <c r="BQ68" s="1464"/>
      <c r="BR68" s="1451"/>
    </row>
    <row r="69" spans="1:70" ht="25.05" customHeight="1" thickBot="1">
      <c r="A69" s="1537" t="s">
        <v>2351</v>
      </c>
      <c r="B69" s="1453" t="s">
        <v>2352</v>
      </c>
      <c r="C69" s="1454" t="s">
        <v>2181</v>
      </c>
      <c r="D69" s="1455">
        <v>1</v>
      </c>
      <c r="E69" s="1456">
        <v>0</v>
      </c>
      <c r="F69" s="1456">
        <v>0</v>
      </c>
      <c r="G69" s="1457">
        <v>0</v>
      </c>
      <c r="H69" s="1458">
        <v>1</v>
      </c>
      <c r="I69" s="1236"/>
      <c r="J69" s="1236"/>
      <c r="K69" s="1236"/>
      <c r="L69" s="1236"/>
      <c r="M69" s="1237"/>
      <c r="N69" s="1237"/>
      <c r="O69" s="1237"/>
      <c r="P69" s="1238">
        <f t="shared" ref="P69" si="134">IF((H69+L69)/D69&gt;=100%,100%,(H69+L69)/D69)</f>
        <v>1</v>
      </c>
      <c r="Q69" s="1238">
        <v>0</v>
      </c>
      <c r="R69" s="1238" t="e">
        <f t="shared" ref="R69:S69" si="135">IF((J69+N69)/F69&gt;=100%,100%,(J69+N69)/F69)</f>
        <v>#DIV/0!</v>
      </c>
      <c r="S69" s="1238" t="e">
        <f t="shared" si="135"/>
        <v>#DIV/0!</v>
      </c>
      <c r="T69" s="1538"/>
      <c r="U69" s="1034">
        <v>46022</v>
      </c>
      <c r="V69" s="1035">
        <f>SUM(D69:G69)</f>
        <v>1</v>
      </c>
      <c r="W69" s="1035">
        <f>SUM(H69:N69)</f>
        <v>1</v>
      </c>
      <c r="X69" s="1239">
        <f>IF(W69/V69&gt;=100%,100%,W69/V69)</f>
        <v>1</v>
      </c>
      <c r="Y69" s="1241">
        <v>1</v>
      </c>
      <c r="Z69" s="1241">
        <v>1</v>
      </c>
      <c r="AA69" s="1241">
        <v>0</v>
      </c>
      <c r="AB69" s="1241">
        <v>0</v>
      </c>
      <c r="AC69" s="1241">
        <v>0</v>
      </c>
      <c r="AD69" s="1244">
        <f>493500000+136011630.920548</f>
        <v>629511630.92054796</v>
      </c>
      <c r="AE69" s="1244"/>
      <c r="AF69" s="1244">
        <v>0</v>
      </c>
      <c r="AG69" s="1244">
        <v>0</v>
      </c>
      <c r="AH69" s="1460">
        <f>473500000+136011630.920548</f>
        <v>609511630.92054796</v>
      </c>
      <c r="AI69" s="1460"/>
      <c r="AJ69" s="1460"/>
      <c r="AK69" s="1460"/>
      <c r="AL69" s="1245">
        <f t="shared" si="14"/>
        <v>0.96822933998732708</v>
      </c>
      <c r="AM69" s="1245" t="e">
        <f t="shared" si="14"/>
        <v>#DIV/0!</v>
      </c>
      <c r="AN69" s="1245" t="e">
        <f t="shared" si="14"/>
        <v>#DIV/0!</v>
      </c>
      <c r="AO69" s="1245" t="e">
        <f t="shared" si="14"/>
        <v>#DIV/0!</v>
      </c>
      <c r="AP69" s="1246">
        <f>0+122628587.157836</f>
        <v>122628587.15783601</v>
      </c>
      <c r="AQ69" s="1247"/>
      <c r="AR69" s="1248"/>
      <c r="AS69" s="1248"/>
      <c r="AT69" s="1249">
        <f t="shared" si="15"/>
        <v>0.19479955752130215</v>
      </c>
      <c r="AU69" s="1249" t="e">
        <f t="shared" si="15"/>
        <v>#DIV/0!</v>
      </c>
      <c r="AV69" s="1249" t="e">
        <f t="shared" si="15"/>
        <v>#DIV/0!</v>
      </c>
      <c r="AW69" s="1249" t="e">
        <f t="shared" si="15"/>
        <v>#DIV/0!</v>
      </c>
      <c r="AX69" s="1044">
        <f t="shared" ref="AX69:BA69" si="136">+AH69-AP69</f>
        <v>486883043.76271194</v>
      </c>
      <c r="AY69" s="1044">
        <f t="shared" si="136"/>
        <v>0</v>
      </c>
      <c r="AZ69" s="1044">
        <f t="shared" si="136"/>
        <v>0</v>
      </c>
      <c r="BA69" s="1044">
        <f t="shared" si="136"/>
        <v>0</v>
      </c>
      <c r="BB69" s="1460"/>
      <c r="BC69" s="1460"/>
      <c r="BD69" s="1460"/>
      <c r="BE69" s="1460"/>
      <c r="BF69" s="1251">
        <f t="shared" si="17"/>
        <v>0</v>
      </c>
      <c r="BG69" s="1251" t="e">
        <f t="shared" si="17"/>
        <v>#DIV/0!</v>
      </c>
      <c r="BH69" s="1251" t="e">
        <f t="shared" si="17"/>
        <v>#DIV/0!</v>
      </c>
      <c r="BI69" s="1251" t="e">
        <f t="shared" si="17"/>
        <v>#DIV/0!</v>
      </c>
      <c r="BJ69" s="1460">
        <f t="shared" si="7"/>
        <v>629511630.92054796</v>
      </c>
      <c r="BK69" s="1539">
        <f t="shared" si="8"/>
        <v>609511630.92054796</v>
      </c>
      <c r="BL69" s="1540">
        <f t="shared" si="9"/>
        <v>0.96822933998732708</v>
      </c>
      <c r="BM69" s="1539">
        <f t="shared" si="10"/>
        <v>122628587.15783601</v>
      </c>
      <c r="BN69" s="1541">
        <f t="shared" si="11"/>
        <v>0.19479955752130215</v>
      </c>
      <c r="BO69" s="1075" t="s">
        <v>2284</v>
      </c>
      <c r="BP69" s="1461" t="s">
        <v>2278</v>
      </c>
      <c r="BQ69" s="1542" t="s">
        <v>2193</v>
      </c>
      <c r="BR69" s="1256" t="s">
        <v>596</v>
      </c>
    </row>
    <row r="70" spans="1:70" ht="15.75" customHeight="1" thickBot="1">
      <c r="A70" s="1438" t="s">
        <v>2353</v>
      </c>
      <c r="B70" s="1438"/>
      <c r="C70" s="1439"/>
      <c r="D70" s="1439"/>
      <c r="E70" s="1440"/>
      <c r="F70" s="1440"/>
      <c r="G70" s="1440"/>
      <c r="H70" s="1440"/>
      <c r="I70" s="1440"/>
      <c r="J70" s="1440"/>
      <c r="K70" s="1440"/>
      <c r="L70" s="1440"/>
      <c r="M70" s="1440"/>
      <c r="N70" s="1440"/>
      <c r="O70" s="1440"/>
      <c r="P70" s="1441">
        <f>+SUMPRODUCT(P71:P73,Z71:Z73)</f>
        <v>1</v>
      </c>
      <c r="Q70" s="1442">
        <f>+SUMPRODUCT(Q71:Q73,AA71:AA73)</f>
        <v>0.84999999999999987</v>
      </c>
      <c r="R70" s="1443" t="e">
        <f>+SUMPRODUCT(R71:R73,AB71:AB73)</f>
        <v>#DIV/0!</v>
      </c>
      <c r="S70" s="1443" t="e">
        <f>+SUMPRODUCT(S71:S73,AC71:AC73)</f>
        <v>#DIV/0!</v>
      </c>
      <c r="T70" s="1543"/>
      <c r="U70" s="1438"/>
      <c r="V70" s="1544"/>
      <c r="W70" s="1445"/>
      <c r="X70" s="1441">
        <f>+SUMPRODUCT(X71:X73,Y71:Y73)</f>
        <v>0.46458333333333335</v>
      </c>
      <c r="Y70" s="1442">
        <v>0.25</v>
      </c>
      <c r="Z70" s="1442">
        <v>0.26</v>
      </c>
      <c r="AA70" s="1442">
        <v>0.25</v>
      </c>
      <c r="AB70" s="1442">
        <v>0.25</v>
      </c>
      <c r="AC70" s="1442">
        <v>0.25</v>
      </c>
      <c r="AD70" s="1439">
        <f>SUM(AD71:AD73)</f>
        <v>6355939564.6712322</v>
      </c>
      <c r="AE70" s="1439">
        <f>SUM(AE71:AE73)</f>
        <v>8311401843</v>
      </c>
      <c r="AF70" s="1439">
        <f t="shared" ref="AF70:AK70" si="137">SUM(AF71:AF73)</f>
        <v>1187500000</v>
      </c>
      <c r="AG70" s="1439">
        <f t="shared" si="137"/>
        <v>1350000000</v>
      </c>
      <c r="AH70" s="1439">
        <f t="shared" si="137"/>
        <v>4486308611.6712322</v>
      </c>
      <c r="AI70" s="1439">
        <f t="shared" si="137"/>
        <v>7278907661</v>
      </c>
      <c r="AJ70" s="1439">
        <f t="shared" si="137"/>
        <v>0</v>
      </c>
      <c r="AK70" s="1439">
        <f t="shared" si="137"/>
        <v>0</v>
      </c>
      <c r="AL70" s="1447">
        <f t="shared" si="14"/>
        <v>0.705845070744201</v>
      </c>
      <c r="AM70" s="1447">
        <f t="shared" si="14"/>
        <v>0.87577376217592173</v>
      </c>
      <c r="AN70" s="1447">
        <f t="shared" si="14"/>
        <v>0</v>
      </c>
      <c r="AO70" s="1447">
        <f t="shared" si="14"/>
        <v>0</v>
      </c>
      <c r="AP70" s="1545">
        <f t="shared" ref="AP70:AS70" si="138">SUM(AP71:AP73)</f>
        <v>4478715395.351963</v>
      </c>
      <c r="AQ70" s="1545">
        <f t="shared" si="138"/>
        <v>6410639924.8299999</v>
      </c>
      <c r="AR70" s="1545">
        <f t="shared" si="138"/>
        <v>0</v>
      </c>
      <c r="AS70" s="1545">
        <f t="shared" si="138"/>
        <v>0</v>
      </c>
      <c r="AT70" s="1447">
        <f t="shared" si="15"/>
        <v>0.70465040609359997</v>
      </c>
      <c r="AU70" s="1447">
        <f t="shared" si="15"/>
        <v>0.77130669963083864</v>
      </c>
      <c r="AV70" s="1447">
        <f t="shared" si="15"/>
        <v>0</v>
      </c>
      <c r="AW70" s="1447">
        <f t="shared" si="15"/>
        <v>0</v>
      </c>
      <c r="AX70" s="1439">
        <f t="shared" ref="AX70:BE70" si="139">SUM(AX71:AX73)</f>
        <v>7593216.3192692697</v>
      </c>
      <c r="AY70" s="1439">
        <f t="shared" si="139"/>
        <v>868267736.16999972</v>
      </c>
      <c r="AZ70" s="1439">
        <f t="shared" si="139"/>
        <v>0</v>
      </c>
      <c r="BA70" s="1439">
        <f t="shared" si="139"/>
        <v>0</v>
      </c>
      <c r="BB70" s="1439">
        <f t="shared" si="139"/>
        <v>0</v>
      </c>
      <c r="BC70" s="1439">
        <f t="shared" si="139"/>
        <v>0</v>
      </c>
      <c r="BD70" s="1439">
        <f t="shared" si="139"/>
        <v>0</v>
      </c>
      <c r="BE70" s="1439">
        <f t="shared" si="139"/>
        <v>0</v>
      </c>
      <c r="BF70" s="1442">
        <f t="shared" si="17"/>
        <v>0</v>
      </c>
      <c r="BG70" s="1442">
        <f t="shared" si="17"/>
        <v>0</v>
      </c>
      <c r="BH70" s="1442" t="e">
        <f t="shared" si="17"/>
        <v>#DIV/0!</v>
      </c>
      <c r="BI70" s="1442" t="e">
        <f t="shared" si="17"/>
        <v>#DIV/0!</v>
      </c>
      <c r="BJ70" s="1439">
        <f t="shared" si="7"/>
        <v>17204841407.671234</v>
      </c>
      <c r="BK70" s="1546">
        <f t="shared" si="8"/>
        <v>11765216272.671232</v>
      </c>
      <c r="BL70" s="1547">
        <f t="shared" si="9"/>
        <v>0.68383171886870164</v>
      </c>
      <c r="BM70" s="1546">
        <f t="shared" si="10"/>
        <v>10889355320.181963</v>
      </c>
      <c r="BN70" s="1548">
        <f t="shared" si="11"/>
        <v>0.63292389985801645</v>
      </c>
      <c r="BO70" s="1439"/>
      <c r="BP70" s="1463"/>
      <c r="BQ70" s="1464"/>
      <c r="BR70" s="1451"/>
    </row>
    <row r="71" spans="1:70" ht="143.4" thickBot="1">
      <c r="A71" s="1549" t="s">
        <v>2354</v>
      </c>
      <c r="B71" s="1467" t="s">
        <v>2355</v>
      </c>
      <c r="C71" s="1025" t="s">
        <v>2181</v>
      </c>
      <c r="D71" s="1406">
        <v>0</v>
      </c>
      <c r="E71" s="1550">
        <v>1</v>
      </c>
      <c r="F71" s="1550">
        <v>0</v>
      </c>
      <c r="G71" s="1551">
        <v>0</v>
      </c>
      <c r="H71" s="1030"/>
      <c r="I71" s="1030">
        <v>1</v>
      </c>
      <c r="J71" s="1030"/>
      <c r="K71" s="1030"/>
      <c r="L71" s="1030"/>
      <c r="M71" s="1031"/>
      <c r="N71" s="1031"/>
      <c r="O71" s="1031"/>
      <c r="P71" s="1032"/>
      <c r="Q71" s="1032">
        <f t="shared" ref="P71:S73" si="140">IF((I71+M71)/E71&gt;=100%,100%,(I71+M71)/E71)</f>
        <v>1</v>
      </c>
      <c r="R71" s="1032" t="e">
        <f t="shared" si="140"/>
        <v>#DIV/0!</v>
      </c>
      <c r="S71" s="1032" t="e">
        <f t="shared" si="140"/>
        <v>#DIV/0!</v>
      </c>
      <c r="T71" s="1136" t="s">
        <v>2356</v>
      </c>
      <c r="U71" s="1034">
        <v>46022</v>
      </c>
      <c r="V71" s="1035">
        <f t="shared" ref="V71:V73" si="141">SUM(D71:G71)</f>
        <v>1</v>
      </c>
      <c r="W71" s="1035">
        <f t="shared" ref="W71:W73" si="142">SUM(H71:N71)</f>
        <v>1</v>
      </c>
      <c r="X71" s="1045">
        <f t="shared" ref="X71:X73" si="143">IF(W71/V71&gt;=100%,100%,W71/V71)</f>
        <v>1</v>
      </c>
      <c r="Y71" s="1037">
        <v>0.2</v>
      </c>
      <c r="Z71" s="1037">
        <v>0</v>
      </c>
      <c r="AA71" s="1037">
        <v>0.2</v>
      </c>
      <c r="AB71" s="1037">
        <v>0.2</v>
      </c>
      <c r="AC71" s="1037">
        <v>0.2</v>
      </c>
      <c r="AD71" s="1137"/>
      <c r="AE71" s="1137">
        <f>1017000000/2</f>
        <v>508500000</v>
      </c>
      <c r="AF71" s="1137">
        <v>0</v>
      </c>
      <c r="AG71" s="1137">
        <v>0</v>
      </c>
      <c r="AH71" s="1137"/>
      <c r="AI71" s="1137">
        <f>1016859996/2</f>
        <v>508429998</v>
      </c>
      <c r="AJ71" s="1137"/>
      <c r="AK71" s="1137"/>
      <c r="AL71" s="1112" t="e">
        <f t="shared" si="14"/>
        <v>#DIV/0!</v>
      </c>
      <c r="AM71" s="1112">
        <f t="shared" si="14"/>
        <v>0.99986233628318588</v>
      </c>
      <c r="AN71" s="1112" t="e">
        <f t="shared" si="14"/>
        <v>#DIV/0!</v>
      </c>
      <c r="AO71" s="1112" t="e">
        <f t="shared" ref="AO71" si="144">+AK71/AG71</f>
        <v>#DIV/0!</v>
      </c>
      <c r="AP71" s="1283"/>
      <c r="AQ71" s="1041">
        <f>560355799.4/2</f>
        <v>280177899.69999999</v>
      </c>
      <c r="AR71" s="1552"/>
      <c r="AS71" s="1042"/>
      <c r="AT71" s="1140" t="e">
        <f t="shared" si="15"/>
        <v>#DIV/0!</v>
      </c>
      <c r="AU71" s="1140">
        <f t="shared" si="15"/>
        <v>0.55098898662733531</v>
      </c>
      <c r="AV71" s="1140" t="e">
        <f t="shared" si="15"/>
        <v>#DIV/0!</v>
      </c>
      <c r="AW71" s="1140" t="e">
        <f t="shared" si="15"/>
        <v>#DIV/0!</v>
      </c>
      <c r="AX71" s="1044">
        <f t="shared" ref="AX71:BA73" si="145">+AH71-AP71</f>
        <v>0</v>
      </c>
      <c r="AY71" s="1044">
        <f t="shared" si="145"/>
        <v>228252098.30000001</v>
      </c>
      <c r="AZ71" s="1044">
        <f t="shared" si="145"/>
        <v>0</v>
      </c>
      <c r="BA71" s="1044">
        <f t="shared" si="145"/>
        <v>0</v>
      </c>
      <c r="BB71" s="1283"/>
      <c r="BC71" s="1283"/>
      <c r="BD71" s="1283"/>
      <c r="BE71" s="1283"/>
      <c r="BF71" s="1045" t="e">
        <f t="shared" si="17"/>
        <v>#DIV/0!</v>
      </c>
      <c r="BG71" s="1045">
        <f t="shared" si="17"/>
        <v>0</v>
      </c>
      <c r="BH71" s="1045" t="e">
        <f t="shared" si="17"/>
        <v>#DIV/0!</v>
      </c>
      <c r="BI71" s="1045" t="e">
        <f t="shared" si="17"/>
        <v>#DIV/0!</v>
      </c>
      <c r="BJ71" s="1283">
        <f t="shared" si="7"/>
        <v>508500000</v>
      </c>
      <c r="BK71" s="1046">
        <f t="shared" si="8"/>
        <v>508429998</v>
      </c>
      <c r="BL71" s="1047">
        <f t="shared" si="9"/>
        <v>0.99986233628318588</v>
      </c>
      <c r="BM71" s="1046">
        <f t="shared" si="10"/>
        <v>280177899.69999999</v>
      </c>
      <c r="BN71" s="1048">
        <f t="shared" si="11"/>
        <v>0.55098898662733531</v>
      </c>
      <c r="BO71" s="1049"/>
      <c r="BP71" s="1409" t="s">
        <v>2278</v>
      </c>
      <c r="BQ71" s="1410" t="s">
        <v>2357</v>
      </c>
      <c r="BR71" s="1411" t="s">
        <v>2343</v>
      </c>
    </row>
    <row r="72" spans="1:70" ht="153.6" thickBot="1">
      <c r="A72" s="1510" t="s">
        <v>2358</v>
      </c>
      <c r="B72" s="1553" t="s">
        <v>2359</v>
      </c>
      <c r="C72" s="1554" t="s">
        <v>597</v>
      </c>
      <c r="D72" s="1555">
        <v>0.05</v>
      </c>
      <c r="E72" s="1556">
        <v>0.05</v>
      </c>
      <c r="F72" s="1557">
        <v>0.15</v>
      </c>
      <c r="G72" s="1558">
        <v>0.15</v>
      </c>
      <c r="H72" s="1140">
        <v>0.03</v>
      </c>
      <c r="I72" s="1514">
        <v>3.7499999999999999E-2</v>
      </c>
      <c r="J72" s="1060"/>
      <c r="K72" s="1060"/>
      <c r="L72" s="1514">
        <v>0.02</v>
      </c>
      <c r="M72" s="1061"/>
      <c r="N72" s="1061"/>
      <c r="O72" s="1061"/>
      <c r="P72" s="1062">
        <f t="shared" si="140"/>
        <v>1</v>
      </c>
      <c r="Q72" s="1062">
        <f t="shared" si="140"/>
        <v>0.74999999999999989</v>
      </c>
      <c r="R72" s="1062">
        <f t="shared" si="140"/>
        <v>0</v>
      </c>
      <c r="S72" s="1062">
        <f t="shared" si="140"/>
        <v>0</v>
      </c>
      <c r="T72" s="1559" t="s">
        <v>2360</v>
      </c>
      <c r="U72" s="1034">
        <v>46022</v>
      </c>
      <c r="V72" s="1035">
        <f t="shared" si="141"/>
        <v>0.4</v>
      </c>
      <c r="W72" s="1035">
        <f t="shared" si="142"/>
        <v>8.7500000000000008E-2</v>
      </c>
      <c r="X72" s="1064">
        <f t="shared" si="143"/>
        <v>0.21875</v>
      </c>
      <c r="Y72" s="1065">
        <v>0.6</v>
      </c>
      <c r="Z72" s="1065">
        <v>0.7</v>
      </c>
      <c r="AA72" s="1065">
        <v>0.6</v>
      </c>
      <c r="AB72" s="1065">
        <v>0.6</v>
      </c>
      <c r="AC72" s="1065">
        <v>0.6</v>
      </c>
      <c r="AD72" s="1066">
        <f>140000000+(77169719.6712329/2)</f>
        <v>178584859.83561644</v>
      </c>
      <c r="AE72" s="1137">
        <f>1017000000/2</f>
        <v>508500000</v>
      </c>
      <c r="AF72" s="1137">
        <v>902500000</v>
      </c>
      <c r="AG72" s="1137">
        <v>1350000000</v>
      </c>
      <c r="AH72" s="1066">
        <f>130000000+(77169719.6712329/2)</f>
        <v>168584859.83561644</v>
      </c>
      <c r="AI72" s="1137">
        <f>1016859996/2</f>
        <v>508429998</v>
      </c>
      <c r="AJ72" s="1137"/>
      <c r="AK72" s="1137"/>
      <c r="AL72" s="1074">
        <f t="shared" ref="AL72:AO135" si="146">+AH72/AD72</f>
        <v>0.94400421172766391</v>
      </c>
      <c r="AM72" s="1074">
        <f t="shared" si="146"/>
        <v>0.99986233628318588</v>
      </c>
      <c r="AN72" s="1074">
        <f t="shared" si="146"/>
        <v>0</v>
      </c>
      <c r="AO72" s="1074">
        <f t="shared" si="146"/>
        <v>0</v>
      </c>
      <c r="AP72" s="1070">
        <f>130000000+(69576503.3519635/2)</f>
        <v>164788251.67598176</v>
      </c>
      <c r="AQ72" s="1041">
        <f>560355799.4/2</f>
        <v>280177899.69999999</v>
      </c>
      <c r="AR72" s="1560"/>
      <c r="AS72" s="1069"/>
      <c r="AT72" s="1140">
        <f t="shared" ref="AT72:AW135" si="147">+AP72/AD72</f>
        <v>0.92274480506167111</v>
      </c>
      <c r="AU72" s="1140">
        <f t="shared" si="147"/>
        <v>0.55098898662733531</v>
      </c>
      <c r="AV72" s="1140">
        <f t="shared" si="147"/>
        <v>0</v>
      </c>
      <c r="AW72" s="1140">
        <f t="shared" si="147"/>
        <v>0</v>
      </c>
      <c r="AX72" s="1044">
        <f t="shared" si="145"/>
        <v>3796608.1596346796</v>
      </c>
      <c r="AY72" s="1044">
        <f t="shared" si="145"/>
        <v>228252098.30000001</v>
      </c>
      <c r="AZ72" s="1044">
        <f t="shared" si="145"/>
        <v>0</v>
      </c>
      <c r="BA72" s="1044">
        <f t="shared" si="145"/>
        <v>0</v>
      </c>
      <c r="BB72" s="1070"/>
      <c r="BC72" s="1070"/>
      <c r="BD72" s="1070"/>
      <c r="BE72" s="1070"/>
      <c r="BF72" s="1071">
        <f t="shared" ref="BF72:BI135" si="148">+BB72/AX72</f>
        <v>0</v>
      </c>
      <c r="BG72" s="1071">
        <f t="shared" si="148"/>
        <v>0</v>
      </c>
      <c r="BH72" s="1071" t="e">
        <f t="shared" si="148"/>
        <v>#DIV/0!</v>
      </c>
      <c r="BI72" s="1071" t="e">
        <f t="shared" si="148"/>
        <v>#DIV/0!</v>
      </c>
      <c r="BJ72" s="1070">
        <f t="shared" si="7"/>
        <v>2939584859.8356166</v>
      </c>
      <c r="BK72" s="1072">
        <f t="shared" si="8"/>
        <v>677014857.83561647</v>
      </c>
      <c r="BL72" s="1073">
        <f t="shared" si="9"/>
        <v>0.23030968320930717</v>
      </c>
      <c r="BM72" s="1072">
        <f t="shared" si="10"/>
        <v>444966151.37598175</v>
      </c>
      <c r="BN72" s="1074">
        <f t="shared" si="11"/>
        <v>0.15137040520778317</v>
      </c>
      <c r="BO72" s="1075" t="s">
        <v>2284</v>
      </c>
      <c r="BP72" s="1321" t="s">
        <v>2278</v>
      </c>
      <c r="BQ72" s="1420" t="s">
        <v>2361</v>
      </c>
      <c r="BR72" s="1421" t="s">
        <v>2343</v>
      </c>
    </row>
    <row r="73" spans="1:70" ht="102.6" thickBot="1">
      <c r="A73" s="1561" t="s">
        <v>2362</v>
      </c>
      <c r="B73" s="1562" t="s">
        <v>2363</v>
      </c>
      <c r="C73" s="1285" t="s">
        <v>2181</v>
      </c>
      <c r="D73" s="1477">
        <v>1</v>
      </c>
      <c r="E73" s="1478">
        <v>1</v>
      </c>
      <c r="F73" s="1478">
        <v>1</v>
      </c>
      <c r="G73" s="1479">
        <v>0</v>
      </c>
      <c r="H73" s="1563">
        <v>0</v>
      </c>
      <c r="I73" s="1030">
        <v>1</v>
      </c>
      <c r="J73" s="1291"/>
      <c r="K73" s="1291"/>
      <c r="L73" s="1182">
        <v>1</v>
      </c>
      <c r="M73" s="1564"/>
      <c r="N73" s="1564"/>
      <c r="O73" s="1564"/>
      <c r="P73" s="1565">
        <f t="shared" si="140"/>
        <v>1</v>
      </c>
      <c r="Q73" s="1102">
        <f t="shared" si="140"/>
        <v>1</v>
      </c>
      <c r="R73" s="1102">
        <f t="shared" si="140"/>
        <v>0</v>
      </c>
      <c r="S73" s="1102" t="e">
        <f t="shared" si="140"/>
        <v>#DIV/0!</v>
      </c>
      <c r="T73" s="1566" t="s">
        <v>2364</v>
      </c>
      <c r="U73" s="1034">
        <v>46022</v>
      </c>
      <c r="V73" s="1035">
        <f t="shared" si="141"/>
        <v>3</v>
      </c>
      <c r="W73" s="1035">
        <f t="shared" si="142"/>
        <v>2</v>
      </c>
      <c r="X73" s="1291">
        <f t="shared" si="143"/>
        <v>0.66666666666666663</v>
      </c>
      <c r="Y73" s="1104">
        <v>0.2</v>
      </c>
      <c r="Z73" s="1104">
        <v>0.3</v>
      </c>
      <c r="AA73" s="1104">
        <v>0.2</v>
      </c>
      <c r="AB73" s="1104">
        <v>0.2</v>
      </c>
      <c r="AC73" s="1104">
        <v>0.2</v>
      </c>
      <c r="AD73" s="1106">
        <f>6138769845+(77169719.6712329/2)</f>
        <v>6177354704.8356161</v>
      </c>
      <c r="AE73" s="1106">
        <v>7294401843</v>
      </c>
      <c r="AF73" s="1106">
        <v>285000000</v>
      </c>
      <c r="AG73" s="1106">
        <v>0</v>
      </c>
      <c r="AH73" s="1106">
        <f>4279138892+(77169719.6712329/2)</f>
        <v>4317723751.8356161</v>
      </c>
      <c r="AI73" s="1106">
        <v>6262047665</v>
      </c>
      <c r="AJ73" s="1106"/>
      <c r="AK73" s="1106"/>
      <c r="AL73" s="1112">
        <f t="shared" si="146"/>
        <v>0.69895998500065315</v>
      </c>
      <c r="AM73" s="1112">
        <f t="shared" si="146"/>
        <v>0.85847308659164578</v>
      </c>
      <c r="AN73" s="1112">
        <f t="shared" si="146"/>
        <v>0</v>
      </c>
      <c r="AO73" s="1112" t="e">
        <f t="shared" si="146"/>
        <v>#DIV/0!</v>
      </c>
      <c r="AP73" s="1107">
        <f>4279138892+(69576503.3519635/2)</f>
        <v>4313927143.6759815</v>
      </c>
      <c r="AQ73" s="1187">
        <v>5850284125.4300003</v>
      </c>
      <c r="AR73" s="1567"/>
      <c r="AS73" s="1188"/>
      <c r="AT73" s="1189">
        <f t="shared" si="147"/>
        <v>0.69834538403615565</v>
      </c>
      <c r="AU73" s="1189">
        <f t="shared" si="147"/>
        <v>0.80202383298147562</v>
      </c>
      <c r="AV73" s="1189">
        <f t="shared" si="147"/>
        <v>0</v>
      </c>
      <c r="AW73" s="1189" t="e">
        <f t="shared" si="147"/>
        <v>#DIV/0!</v>
      </c>
      <c r="AX73" s="1044">
        <f t="shared" si="145"/>
        <v>3796608.1596345901</v>
      </c>
      <c r="AY73" s="1044">
        <f t="shared" si="145"/>
        <v>411763539.56999969</v>
      </c>
      <c r="AZ73" s="1044">
        <f t="shared" si="145"/>
        <v>0</v>
      </c>
      <c r="BA73" s="1044">
        <f t="shared" si="145"/>
        <v>0</v>
      </c>
      <c r="BB73" s="1107"/>
      <c r="BC73" s="1107"/>
      <c r="BD73" s="1107"/>
      <c r="BE73" s="1107"/>
      <c r="BF73" s="1190">
        <f t="shared" si="148"/>
        <v>0</v>
      </c>
      <c r="BG73" s="1190">
        <f t="shared" si="148"/>
        <v>0</v>
      </c>
      <c r="BH73" s="1190" t="e">
        <f t="shared" si="148"/>
        <v>#DIV/0!</v>
      </c>
      <c r="BI73" s="1190" t="e">
        <f t="shared" si="148"/>
        <v>#DIV/0!</v>
      </c>
      <c r="BJ73" s="1107">
        <f t="shared" si="7"/>
        <v>13756756547.835617</v>
      </c>
      <c r="BK73" s="1110">
        <f t="shared" si="8"/>
        <v>10579771416.835617</v>
      </c>
      <c r="BL73" s="1111">
        <f t="shared" si="9"/>
        <v>0.769060016439715</v>
      </c>
      <c r="BM73" s="1110">
        <f t="shared" si="10"/>
        <v>10164211269.105982</v>
      </c>
      <c r="BN73" s="1112">
        <f t="shared" si="11"/>
        <v>0.73885230386701439</v>
      </c>
      <c r="BO73" s="1075" t="s">
        <v>2284</v>
      </c>
      <c r="BP73" s="1435" t="s">
        <v>2278</v>
      </c>
      <c r="BQ73" s="1436" t="s">
        <v>2365</v>
      </c>
      <c r="BR73" s="1437" t="s">
        <v>2343</v>
      </c>
    </row>
    <row r="74" spans="1:70" ht="15.75" customHeight="1" thickBot="1">
      <c r="A74" s="1438" t="s">
        <v>2366</v>
      </c>
      <c r="B74" s="1438"/>
      <c r="C74" s="1439"/>
      <c r="D74" s="1439"/>
      <c r="E74" s="1440"/>
      <c r="F74" s="1440"/>
      <c r="G74" s="1440"/>
      <c r="H74" s="1440"/>
      <c r="I74" s="1440"/>
      <c r="J74" s="1440"/>
      <c r="K74" s="1440"/>
      <c r="L74" s="1440"/>
      <c r="M74" s="1440"/>
      <c r="N74" s="1440"/>
      <c r="O74" s="1440"/>
      <c r="P74" s="1441">
        <f>+SUMPRODUCT(P75:P75,Z75:Z75)</f>
        <v>0</v>
      </c>
      <c r="Q74" s="1442">
        <f>+SUMPRODUCT(Q75:Q75,AA75:AA75)</f>
        <v>0</v>
      </c>
      <c r="R74" s="1443" t="e">
        <f>+SUMPRODUCT(R75:R75,AB75:AB75)</f>
        <v>#DIV/0!</v>
      </c>
      <c r="S74" s="1443" t="e">
        <f>+SUMPRODUCT(S75:S75,AC75:AC75)</f>
        <v>#DIV/0!</v>
      </c>
      <c r="T74" s="1543"/>
      <c r="U74" s="1438"/>
      <c r="V74" s="1544"/>
      <c r="W74" s="1445"/>
      <c r="X74" s="1441">
        <f>+SUMPRODUCT(X75:X75,Y75:Y75)</f>
        <v>0</v>
      </c>
      <c r="Y74" s="1442">
        <v>0.05</v>
      </c>
      <c r="Z74" s="1442">
        <v>0</v>
      </c>
      <c r="AA74" s="1442">
        <v>0.05</v>
      </c>
      <c r="AB74" s="1442">
        <v>0.05</v>
      </c>
      <c r="AC74" s="1442">
        <v>0.05</v>
      </c>
      <c r="AD74" s="1439">
        <f>SUM(AD75:AD75)</f>
        <v>0</v>
      </c>
      <c r="AE74" s="1439">
        <f>SUM(AE75:AE75)</f>
        <v>567000000</v>
      </c>
      <c r="AF74" s="1439">
        <f t="shared" ref="AF74:AK74" si="149">SUM(AF75:AF75)</f>
        <v>0</v>
      </c>
      <c r="AG74" s="1439">
        <f t="shared" si="149"/>
        <v>0</v>
      </c>
      <c r="AH74" s="1439">
        <f t="shared" si="149"/>
        <v>0</v>
      </c>
      <c r="AI74" s="1439">
        <f t="shared" si="149"/>
        <v>567000000</v>
      </c>
      <c r="AJ74" s="1439">
        <f t="shared" si="149"/>
        <v>0</v>
      </c>
      <c r="AK74" s="1439">
        <f t="shared" si="149"/>
        <v>0</v>
      </c>
      <c r="AL74" s="1548" t="e">
        <f t="shared" si="146"/>
        <v>#DIV/0!</v>
      </c>
      <c r="AM74" s="1548">
        <f t="shared" si="146"/>
        <v>1</v>
      </c>
      <c r="AN74" s="1548" t="e">
        <f t="shared" si="146"/>
        <v>#DIV/0!</v>
      </c>
      <c r="AO74" s="1548" t="e">
        <f t="shared" si="146"/>
        <v>#DIV/0!</v>
      </c>
      <c r="AP74" s="1439">
        <f t="shared" ref="AP74:AS74" si="150">SUM(AP75:AP75)</f>
        <v>0</v>
      </c>
      <c r="AQ74" s="1439">
        <f t="shared" si="150"/>
        <v>551157835.69000006</v>
      </c>
      <c r="AR74" s="1439">
        <f t="shared" si="150"/>
        <v>0</v>
      </c>
      <c r="AS74" s="1439">
        <f t="shared" si="150"/>
        <v>0</v>
      </c>
      <c r="AT74" s="1447" t="e">
        <f t="shared" si="147"/>
        <v>#DIV/0!</v>
      </c>
      <c r="AU74" s="1447">
        <f t="shared" si="147"/>
        <v>0.97205967493827172</v>
      </c>
      <c r="AV74" s="1447" t="e">
        <f t="shared" si="147"/>
        <v>#DIV/0!</v>
      </c>
      <c r="AW74" s="1447" t="e">
        <f t="shared" si="147"/>
        <v>#DIV/0!</v>
      </c>
      <c r="AX74" s="1439">
        <f t="shared" ref="AX74:BE74" si="151">SUM(AX75:AX75)</f>
        <v>0</v>
      </c>
      <c r="AY74" s="1439">
        <f t="shared" si="151"/>
        <v>15842164.309999943</v>
      </c>
      <c r="AZ74" s="1439">
        <f t="shared" si="151"/>
        <v>0</v>
      </c>
      <c r="BA74" s="1439">
        <f t="shared" si="151"/>
        <v>0</v>
      </c>
      <c r="BB74" s="1439">
        <f t="shared" si="151"/>
        <v>0</v>
      </c>
      <c r="BC74" s="1439">
        <f t="shared" si="151"/>
        <v>0</v>
      </c>
      <c r="BD74" s="1439">
        <f t="shared" si="151"/>
        <v>0</v>
      </c>
      <c r="BE74" s="1439">
        <f t="shared" si="151"/>
        <v>0</v>
      </c>
      <c r="BF74" s="1442" t="e">
        <f t="shared" si="148"/>
        <v>#DIV/0!</v>
      </c>
      <c r="BG74" s="1442">
        <f t="shared" si="148"/>
        <v>0</v>
      </c>
      <c r="BH74" s="1442" t="e">
        <f t="shared" si="148"/>
        <v>#DIV/0!</v>
      </c>
      <c r="BI74" s="1442" t="e">
        <f t="shared" si="148"/>
        <v>#DIV/0!</v>
      </c>
      <c r="BJ74" s="1439">
        <f t="shared" si="7"/>
        <v>567000000</v>
      </c>
      <c r="BK74" s="1546">
        <f t="shared" si="8"/>
        <v>567000000</v>
      </c>
      <c r="BL74" s="1547">
        <f t="shared" si="9"/>
        <v>1</v>
      </c>
      <c r="BM74" s="1546">
        <f t="shared" si="10"/>
        <v>551157835.69000006</v>
      </c>
      <c r="BN74" s="1548">
        <f t="shared" si="11"/>
        <v>0.97205967493827172</v>
      </c>
      <c r="BO74" s="1439"/>
      <c r="BP74" s="1449"/>
      <c r="BQ74" s="1464"/>
      <c r="BR74" s="1465"/>
    </row>
    <row r="75" spans="1:70" ht="75" customHeight="1" thickBot="1">
      <c r="A75" s="1537" t="s">
        <v>2367</v>
      </c>
      <c r="B75" s="1453" t="s">
        <v>2368</v>
      </c>
      <c r="C75" s="1454" t="s">
        <v>2181</v>
      </c>
      <c r="D75" s="1455">
        <v>0</v>
      </c>
      <c r="E75" s="1456">
        <v>1</v>
      </c>
      <c r="F75" s="1456">
        <v>0</v>
      </c>
      <c r="G75" s="1457">
        <v>0</v>
      </c>
      <c r="H75" s="1236"/>
      <c r="I75" s="1236">
        <v>0</v>
      </c>
      <c r="J75" s="1236"/>
      <c r="K75" s="1236"/>
      <c r="L75" s="1236"/>
      <c r="M75" s="1237"/>
      <c r="N75" s="1237"/>
      <c r="O75" s="1237"/>
      <c r="P75" s="1238">
        <v>0</v>
      </c>
      <c r="Q75" s="1238">
        <f t="shared" ref="Q75:S75" si="152">IF((I75+M75)/E75&gt;=100%,100%,(I75+M75)/E75)</f>
        <v>0</v>
      </c>
      <c r="R75" s="1238" t="e">
        <f t="shared" si="152"/>
        <v>#DIV/0!</v>
      </c>
      <c r="S75" s="1238" t="e">
        <f t="shared" si="152"/>
        <v>#DIV/0!</v>
      </c>
      <c r="T75" s="1459" t="s">
        <v>2369</v>
      </c>
      <c r="U75" s="1034">
        <v>46022</v>
      </c>
      <c r="V75" s="1035">
        <f>SUM(D75:G75)</f>
        <v>1</v>
      </c>
      <c r="W75" s="1035">
        <f>SUM(H75:N75)</f>
        <v>0</v>
      </c>
      <c r="X75" s="1251">
        <f t="shared" ref="X75" si="153">IF(W75/V75&gt;=100%,100%,W75/V75)</f>
        <v>0</v>
      </c>
      <c r="Y75" s="1241">
        <v>1</v>
      </c>
      <c r="Z75" s="1241">
        <v>0</v>
      </c>
      <c r="AA75" s="1241">
        <v>1</v>
      </c>
      <c r="AB75" s="1241">
        <v>1</v>
      </c>
      <c r="AC75" s="1241">
        <v>1</v>
      </c>
      <c r="AD75" s="1244">
        <v>0</v>
      </c>
      <c r="AE75" s="1244">
        <v>567000000</v>
      </c>
      <c r="AF75" s="1244">
        <v>0</v>
      </c>
      <c r="AG75" s="1244">
        <v>0</v>
      </c>
      <c r="AH75" s="1244">
        <v>0</v>
      </c>
      <c r="AI75" s="1244">
        <v>567000000</v>
      </c>
      <c r="AJ75" s="1244"/>
      <c r="AK75" s="1244"/>
      <c r="AL75" s="1254" t="e">
        <f t="shared" si="146"/>
        <v>#DIV/0!</v>
      </c>
      <c r="AM75" s="1254">
        <f t="shared" si="146"/>
        <v>1</v>
      </c>
      <c r="AN75" s="1254" t="e">
        <f t="shared" si="146"/>
        <v>#DIV/0!</v>
      </c>
      <c r="AO75" s="1254" t="e">
        <f t="shared" si="146"/>
        <v>#DIV/0!</v>
      </c>
      <c r="AP75" s="1250">
        <v>0</v>
      </c>
      <c r="AQ75" s="1247">
        <v>551157835.69000006</v>
      </c>
      <c r="AR75" s="1568"/>
      <c r="AS75" s="1248"/>
      <c r="AT75" s="1249" t="e">
        <f t="shared" si="147"/>
        <v>#DIV/0!</v>
      </c>
      <c r="AU75" s="1249">
        <f t="shared" si="147"/>
        <v>0.97205967493827172</v>
      </c>
      <c r="AV75" s="1249" t="e">
        <f t="shared" si="147"/>
        <v>#DIV/0!</v>
      </c>
      <c r="AW75" s="1249" t="e">
        <f t="shared" si="147"/>
        <v>#DIV/0!</v>
      </c>
      <c r="AX75" s="1044">
        <f t="shared" ref="AX75:BA75" si="154">+AH75-AP75</f>
        <v>0</v>
      </c>
      <c r="AY75" s="1044">
        <f t="shared" si="154"/>
        <v>15842164.309999943</v>
      </c>
      <c r="AZ75" s="1044">
        <f t="shared" si="154"/>
        <v>0</v>
      </c>
      <c r="BA75" s="1044">
        <f t="shared" si="154"/>
        <v>0</v>
      </c>
      <c r="BB75" s="1250"/>
      <c r="BC75" s="1250"/>
      <c r="BD75" s="1250"/>
      <c r="BE75" s="1250"/>
      <c r="BF75" s="1251" t="e">
        <f t="shared" si="148"/>
        <v>#DIV/0!</v>
      </c>
      <c r="BG75" s="1251">
        <f t="shared" si="148"/>
        <v>0</v>
      </c>
      <c r="BH75" s="1251" t="e">
        <f t="shared" si="148"/>
        <v>#DIV/0!</v>
      </c>
      <c r="BI75" s="1251" t="e">
        <f t="shared" si="148"/>
        <v>#DIV/0!</v>
      </c>
      <c r="BJ75" s="1250">
        <f t="shared" si="7"/>
        <v>567000000</v>
      </c>
      <c r="BK75" s="1252">
        <f t="shared" si="8"/>
        <v>567000000</v>
      </c>
      <c r="BL75" s="1253">
        <f t="shared" si="9"/>
        <v>1</v>
      </c>
      <c r="BM75" s="1252">
        <f t="shared" si="10"/>
        <v>551157835.69000006</v>
      </c>
      <c r="BN75" s="1254">
        <f t="shared" si="11"/>
        <v>0.97205967493827172</v>
      </c>
      <c r="BO75" s="1460"/>
      <c r="BP75" s="1569" t="s">
        <v>2278</v>
      </c>
      <c r="BQ75" s="1542" t="s">
        <v>2193</v>
      </c>
      <c r="BR75" s="1570" t="s">
        <v>2343</v>
      </c>
    </row>
    <row r="76" spans="1:70" ht="51" customHeight="1">
      <c r="A76" s="1571" t="s">
        <v>2370</v>
      </c>
      <c r="B76" s="1572"/>
      <c r="C76" s="1573"/>
      <c r="D76" s="1573"/>
      <c r="E76" s="1574"/>
      <c r="F76" s="1574"/>
      <c r="G76" s="1575"/>
      <c r="H76" s="1574"/>
      <c r="I76" s="1574"/>
      <c r="J76" s="1575"/>
      <c r="K76" s="1574"/>
      <c r="L76" s="1574"/>
      <c r="M76" s="1575"/>
      <c r="N76" s="1575"/>
      <c r="O76" s="1575"/>
      <c r="P76" s="1576">
        <f>+(P77*Z77)+(P103*Z103)+(P108*Z108)</f>
        <v>1.0000000000000002</v>
      </c>
      <c r="Q76" s="1576">
        <f>+(Q77*AA77)+(Q103*AA103)+(Q108*AA108)</f>
        <v>1.0000000000000002</v>
      </c>
      <c r="R76" s="1576" t="e">
        <f>+(R77*AB77)+(R103*AB103)+(R108*AB108)</f>
        <v>#DIV/0!</v>
      </c>
      <c r="S76" s="1576" t="e">
        <f>+(S77*AC77)+(S103*AC103)+(S108*AC108)</f>
        <v>#DIV/0!</v>
      </c>
      <c r="T76" s="1577"/>
      <c r="U76" s="1578"/>
      <c r="V76" s="1579"/>
      <c r="W76" s="1580"/>
      <c r="X76" s="1581">
        <f>+(X77*Y77)+(X103*Y103)+(X108*Y108)</f>
        <v>0.1484375</v>
      </c>
      <c r="Y76" s="1582">
        <v>0.125</v>
      </c>
      <c r="Z76" s="1582">
        <f>+Y76</f>
        <v>0.125</v>
      </c>
      <c r="AA76" s="1582">
        <f>+Z76</f>
        <v>0.125</v>
      </c>
      <c r="AB76" s="1582">
        <f t="shared" ref="AB76:AC76" si="155">+AA76</f>
        <v>0.125</v>
      </c>
      <c r="AC76" s="1582">
        <f t="shared" si="155"/>
        <v>0.125</v>
      </c>
      <c r="AD76" s="1583">
        <f>+AD77+AD103+AD108</f>
        <v>5547490829</v>
      </c>
      <c r="AE76" s="1583">
        <f>+AE77+AE103+AE108</f>
        <v>7030000000</v>
      </c>
      <c r="AF76" s="1583">
        <f t="shared" ref="AF76:AK76" si="156">+AF77+AF103+AF108</f>
        <v>8981240625</v>
      </c>
      <c r="AG76" s="1583">
        <f t="shared" si="156"/>
        <v>9430302656.25</v>
      </c>
      <c r="AH76" s="1584">
        <f t="shared" si="156"/>
        <v>5546370300</v>
      </c>
      <c r="AI76" s="1584">
        <f t="shared" si="156"/>
        <v>7009900000</v>
      </c>
      <c r="AJ76" s="1584">
        <f t="shared" si="156"/>
        <v>0</v>
      </c>
      <c r="AK76" s="1584">
        <f t="shared" si="156"/>
        <v>0</v>
      </c>
      <c r="AL76" s="1576">
        <f t="shared" si="146"/>
        <v>0.99979801156332837</v>
      </c>
      <c r="AM76" s="1576">
        <f t="shared" si="146"/>
        <v>0.9971408250355619</v>
      </c>
      <c r="AN76" s="1576">
        <f t="shared" si="146"/>
        <v>0</v>
      </c>
      <c r="AO76" s="1576">
        <f t="shared" si="146"/>
        <v>0</v>
      </c>
      <c r="AP76" s="1584">
        <f t="shared" ref="AP76:AS76" si="157">+AP77+AP103+AP108</f>
        <v>4890325224.7999992</v>
      </c>
      <c r="AQ76" s="1583">
        <f t="shared" si="157"/>
        <v>5921634233.789999</v>
      </c>
      <c r="AR76" s="1583">
        <f t="shared" si="157"/>
        <v>0</v>
      </c>
      <c r="AS76" s="1583">
        <f t="shared" si="157"/>
        <v>0</v>
      </c>
      <c r="AT76" s="1576">
        <f t="shared" si="147"/>
        <v>0.88153822611754318</v>
      </c>
      <c r="AU76" s="1576">
        <f t="shared" si="147"/>
        <v>0.84233772884637259</v>
      </c>
      <c r="AV76" s="1576">
        <f t="shared" si="147"/>
        <v>0</v>
      </c>
      <c r="AW76" s="1576">
        <f t="shared" si="147"/>
        <v>0</v>
      </c>
      <c r="AX76" s="1583">
        <f t="shared" ref="AX76:BE76" si="158">+AX77+AX103+AX108</f>
        <v>656045075.19999957</v>
      </c>
      <c r="AY76" s="1583">
        <f t="shared" si="158"/>
        <v>1088265766.21</v>
      </c>
      <c r="AZ76" s="1583">
        <f t="shared" si="158"/>
        <v>0</v>
      </c>
      <c r="BA76" s="1583">
        <f t="shared" si="158"/>
        <v>0</v>
      </c>
      <c r="BB76" s="1583">
        <f t="shared" si="158"/>
        <v>0</v>
      </c>
      <c r="BC76" s="1583">
        <f t="shared" si="158"/>
        <v>0</v>
      </c>
      <c r="BD76" s="1583">
        <f t="shared" si="158"/>
        <v>0</v>
      </c>
      <c r="BE76" s="1583">
        <f t="shared" si="158"/>
        <v>0</v>
      </c>
      <c r="BF76" s="1582">
        <f t="shared" si="148"/>
        <v>0</v>
      </c>
      <c r="BG76" s="1582">
        <f t="shared" si="148"/>
        <v>0</v>
      </c>
      <c r="BH76" s="1582" t="e">
        <f t="shared" si="148"/>
        <v>#DIV/0!</v>
      </c>
      <c r="BI76" s="1582" t="e">
        <f t="shared" si="148"/>
        <v>#DIV/0!</v>
      </c>
      <c r="BJ76" s="1583">
        <f t="shared" si="7"/>
        <v>30989034110.25</v>
      </c>
      <c r="BK76" s="1584">
        <f t="shared" si="8"/>
        <v>12556270300</v>
      </c>
      <c r="BL76" s="1585">
        <f t="shared" si="9"/>
        <v>0.4051843066592018</v>
      </c>
      <c r="BM76" s="1584">
        <f t="shared" si="10"/>
        <v>10811959458.589998</v>
      </c>
      <c r="BN76" s="1586">
        <f t="shared" si="11"/>
        <v>0.34889630377391501</v>
      </c>
      <c r="BO76" s="1583"/>
      <c r="BP76" s="1587"/>
      <c r="BQ76" s="1588"/>
      <c r="BR76" s="1589"/>
    </row>
    <row r="77" spans="1:70" ht="51" customHeight="1">
      <c r="A77" s="1590" t="s">
        <v>2371</v>
      </c>
      <c r="B77" s="1590"/>
      <c r="C77" s="1591"/>
      <c r="D77" s="1591"/>
      <c r="E77" s="1592"/>
      <c r="F77" s="1592"/>
      <c r="G77" s="1592"/>
      <c r="H77" s="1592"/>
      <c r="I77" s="1592"/>
      <c r="J77" s="1592"/>
      <c r="K77" s="1592"/>
      <c r="L77" s="1592"/>
      <c r="M77" s="1592"/>
      <c r="N77" s="1592"/>
      <c r="O77" s="1592"/>
      <c r="P77" s="1593">
        <f>+(P78*Z78)+(P81*Z81)+(P85*Z85)+(P92*Z92)+(P94*Z94)+(P96*Z96)+(P98*Z98)+(P100*Z100)</f>
        <v>1.0000000000000002</v>
      </c>
      <c r="Q77" s="1593">
        <f>+(Q78*AA78)+(Q81*AA81)+(Q85*AA85)+(Q92*AA92)+(Q94*AA94)+(Q96*AA96)+(Q98*AA98)+(Q100*AA100)</f>
        <v>1.0000000000000002</v>
      </c>
      <c r="R77" s="1593" t="e">
        <f>+(R78*AB78)+(R81*AB81)+(R85*AB85)+(R92*AB92)+(R94*AB94)+(R96*AB96)+(R98*AB98)+(R100*AB100)</f>
        <v>#DIV/0!</v>
      </c>
      <c r="S77" s="1593" t="e">
        <f>+(S78*AC78)+(S81*AC81)+(S85*AC85)+(S92*AC92)+(S94*AC94)+(S96*AC96)+(S98*AC98)+(S100*AC100)</f>
        <v>#DIV/0!</v>
      </c>
      <c r="T77" s="1594"/>
      <c r="U77" s="1590"/>
      <c r="V77" s="1595"/>
      <c r="W77" s="1596"/>
      <c r="X77" s="1597">
        <f>+(X78*Y78)</f>
        <v>3.125E-2</v>
      </c>
      <c r="Y77" s="1598">
        <v>0.75</v>
      </c>
      <c r="Z77" s="1598">
        <v>0.75</v>
      </c>
      <c r="AA77" s="1598">
        <v>0.75</v>
      </c>
      <c r="AB77" s="1598">
        <v>0.75</v>
      </c>
      <c r="AC77" s="1598">
        <v>0.75</v>
      </c>
      <c r="AD77" s="1591">
        <f>+AD78+AD81+AD85+AD92+AD94+AD96+AD98+AD100</f>
        <v>4350656072.8892126</v>
      </c>
      <c r="AE77" s="1591">
        <f>+AE78+AE81+AE85+AE92+AE94+AE96+AE98+AE100</f>
        <v>5590000000</v>
      </c>
      <c r="AF77" s="1591">
        <f t="shared" ref="AF77:AG77" si="159">+AF78+AF81+AF85+AF92+AF94+AF96+AF98+AF100</f>
        <v>7043596875</v>
      </c>
      <c r="AG77" s="1591">
        <f t="shared" si="159"/>
        <v>7395776718.75</v>
      </c>
      <c r="AH77" s="1591">
        <f>+AH78+AH81+AH85+AH92+AH94+AH96+AH98+AH100</f>
        <v>4349535543.8892126</v>
      </c>
      <c r="AI77" s="1591">
        <f t="shared" ref="AI77:AK77" si="160">+AI78+AI81+AI85+AI92+AI94+AI96+AI98+AI100</f>
        <v>5569900000</v>
      </c>
      <c r="AJ77" s="1591">
        <f t="shared" si="160"/>
        <v>0</v>
      </c>
      <c r="AK77" s="1591">
        <f t="shared" si="160"/>
        <v>0</v>
      </c>
      <c r="AL77" s="1593">
        <f t="shared" si="146"/>
        <v>0.99974244597108408</v>
      </c>
      <c r="AM77" s="1593">
        <f t="shared" si="146"/>
        <v>0.99640429338103753</v>
      </c>
      <c r="AN77" s="1593">
        <f t="shared" si="146"/>
        <v>0</v>
      </c>
      <c r="AO77" s="1593">
        <f t="shared" si="146"/>
        <v>0</v>
      </c>
      <c r="AP77" s="1599">
        <f t="shared" ref="AP77:AS77" si="161">+AP78+AP81+AP85+AP92+AP94+AP96+AP98+AP100</f>
        <v>3917376329.9218655</v>
      </c>
      <c r="AQ77" s="1591">
        <f t="shared" si="161"/>
        <v>4983640298.6199999</v>
      </c>
      <c r="AR77" s="1591">
        <f t="shared" si="161"/>
        <v>0</v>
      </c>
      <c r="AS77" s="1591">
        <f t="shared" si="161"/>
        <v>0</v>
      </c>
      <c r="AT77" s="1593">
        <f t="shared" si="147"/>
        <v>0.90041048161280834</v>
      </c>
      <c r="AU77" s="1593">
        <f t="shared" si="147"/>
        <v>0.89152778150626111</v>
      </c>
      <c r="AV77" s="1593">
        <f t="shared" si="147"/>
        <v>0</v>
      </c>
      <c r="AW77" s="1593">
        <f t="shared" si="147"/>
        <v>0</v>
      </c>
      <c r="AX77" s="1591">
        <f t="shared" ref="AX77:BE77" si="162">+AX78+AX81+AX85+AX92+AX94+AX96+AX98+AX100</f>
        <v>432159213.9673475</v>
      </c>
      <c r="AY77" s="1591">
        <f t="shared" si="162"/>
        <v>586259701.38000011</v>
      </c>
      <c r="AZ77" s="1591">
        <f t="shared" si="162"/>
        <v>0</v>
      </c>
      <c r="BA77" s="1591">
        <f t="shared" si="162"/>
        <v>0</v>
      </c>
      <c r="BB77" s="1591">
        <f t="shared" si="162"/>
        <v>0</v>
      </c>
      <c r="BC77" s="1591">
        <f t="shared" si="162"/>
        <v>0</v>
      </c>
      <c r="BD77" s="1591">
        <f t="shared" si="162"/>
        <v>0</v>
      </c>
      <c r="BE77" s="1591">
        <f t="shared" si="162"/>
        <v>0</v>
      </c>
      <c r="BF77" s="1598">
        <f t="shared" si="148"/>
        <v>0</v>
      </c>
      <c r="BG77" s="1598">
        <f t="shared" si="148"/>
        <v>0</v>
      </c>
      <c r="BH77" s="1598" t="e">
        <f t="shared" si="148"/>
        <v>#DIV/0!</v>
      </c>
      <c r="BI77" s="1598" t="e">
        <f t="shared" si="148"/>
        <v>#DIV/0!</v>
      </c>
      <c r="BJ77" s="1591">
        <f t="shared" si="7"/>
        <v>24380029666.639214</v>
      </c>
      <c r="BK77" s="1599">
        <f t="shared" si="8"/>
        <v>9919435543.8892136</v>
      </c>
      <c r="BL77" s="1600">
        <f t="shared" si="9"/>
        <v>0.40686724665731744</v>
      </c>
      <c r="BM77" s="1599">
        <f t="shared" si="10"/>
        <v>8901016628.5418663</v>
      </c>
      <c r="BN77" s="1601">
        <f t="shared" si="11"/>
        <v>0.36509457741643803</v>
      </c>
      <c r="BO77" s="1591"/>
      <c r="BP77" s="1602"/>
      <c r="BQ77" s="1603"/>
      <c r="BR77" s="1604"/>
    </row>
    <row r="78" spans="1:70" ht="51" customHeight="1" thickBot="1">
      <c r="A78" s="1605" t="s">
        <v>2372</v>
      </c>
      <c r="B78" s="1605"/>
      <c r="C78" s="1606"/>
      <c r="D78" s="1606"/>
      <c r="E78" s="1607"/>
      <c r="F78" s="1607"/>
      <c r="G78" s="1607"/>
      <c r="H78" s="1607"/>
      <c r="I78" s="1607"/>
      <c r="J78" s="1607"/>
      <c r="K78" s="1607"/>
      <c r="L78" s="1607"/>
      <c r="M78" s="1607"/>
      <c r="N78" s="1607"/>
      <c r="O78" s="1607"/>
      <c r="P78" s="1608">
        <f>+SUMPRODUCT(P79:P80,Z79:Z80)</f>
        <v>1</v>
      </c>
      <c r="Q78" s="1609">
        <f>+SUMPRODUCT(Q79:Q80,AA79:AA80)</f>
        <v>1</v>
      </c>
      <c r="R78" s="1610">
        <f>+SUMPRODUCT(R79:R80,AB79:AB80)</f>
        <v>0</v>
      </c>
      <c r="S78" s="1610">
        <f>+SUMPRODUCT(S79:S80,AC79:AC80)</f>
        <v>0</v>
      </c>
      <c r="T78" s="1611"/>
      <c r="U78" s="1605"/>
      <c r="V78" s="1612"/>
      <c r="W78" s="1613"/>
      <c r="X78" s="1608">
        <f>+SUMPRODUCT(X79:X80,Y79:Y80)</f>
        <v>0.625</v>
      </c>
      <c r="Y78" s="1609">
        <v>0.05</v>
      </c>
      <c r="Z78" s="1609">
        <v>0.05</v>
      </c>
      <c r="AA78" s="1609">
        <v>0.05</v>
      </c>
      <c r="AB78" s="1609">
        <v>0.05</v>
      </c>
      <c r="AC78" s="1609">
        <v>0.05</v>
      </c>
      <c r="AD78" s="1606">
        <f>SUM(AD79:AD80)</f>
        <v>194081311.80174929</v>
      </c>
      <c r="AE78" s="1606">
        <f>SUM(AE79:AE80)</f>
        <v>240000000</v>
      </c>
      <c r="AF78" s="1606">
        <f t="shared" ref="AF78:AK78" si="163">SUM(AF79:AF80)</f>
        <v>314212500</v>
      </c>
      <c r="AG78" s="1606">
        <f t="shared" si="163"/>
        <v>329923125</v>
      </c>
      <c r="AH78" s="1606">
        <f t="shared" si="163"/>
        <v>194047563.80174929</v>
      </c>
      <c r="AI78" s="1606">
        <f t="shared" si="163"/>
        <v>239992470</v>
      </c>
      <c r="AJ78" s="1606">
        <f t="shared" si="163"/>
        <v>0</v>
      </c>
      <c r="AK78" s="1606">
        <f t="shared" si="163"/>
        <v>0</v>
      </c>
      <c r="AL78" s="1614">
        <f t="shared" si="146"/>
        <v>0.99982611411842437</v>
      </c>
      <c r="AM78" s="1614">
        <f t="shared" si="146"/>
        <v>0.99996862500000006</v>
      </c>
      <c r="AN78" s="1614">
        <f t="shared" si="146"/>
        <v>0</v>
      </c>
      <c r="AO78" s="1614">
        <f t="shared" si="146"/>
        <v>0</v>
      </c>
      <c r="AP78" s="1615">
        <f t="shared" ref="AP78:AS78" si="164">SUM(AP79:AP80)</f>
        <v>29987708.818075798</v>
      </c>
      <c r="AQ78" s="1615">
        <f t="shared" si="164"/>
        <v>144203258.41999999</v>
      </c>
      <c r="AR78" s="1615">
        <f t="shared" si="164"/>
        <v>0</v>
      </c>
      <c r="AS78" s="1615">
        <f t="shared" si="164"/>
        <v>0</v>
      </c>
      <c r="AT78" s="1614">
        <f t="shared" si="147"/>
        <v>0.15451105796681613</v>
      </c>
      <c r="AU78" s="1614">
        <f t="shared" si="147"/>
        <v>0.60084691008333324</v>
      </c>
      <c r="AV78" s="1614">
        <f t="shared" si="147"/>
        <v>0</v>
      </c>
      <c r="AW78" s="1614">
        <f t="shared" si="147"/>
        <v>0</v>
      </c>
      <c r="AX78" s="1606">
        <f t="shared" ref="AX78:BE78" si="165">SUM(AX79:AX80)</f>
        <v>164059854.98367348</v>
      </c>
      <c r="AY78" s="1606">
        <f t="shared" si="165"/>
        <v>95789211.579999998</v>
      </c>
      <c r="AZ78" s="1606">
        <f t="shared" si="165"/>
        <v>0</v>
      </c>
      <c r="BA78" s="1606">
        <f t="shared" si="165"/>
        <v>0</v>
      </c>
      <c r="BB78" s="1606">
        <f t="shared" si="165"/>
        <v>0</v>
      </c>
      <c r="BC78" s="1606">
        <f t="shared" si="165"/>
        <v>0</v>
      </c>
      <c r="BD78" s="1606">
        <f t="shared" si="165"/>
        <v>0</v>
      </c>
      <c r="BE78" s="1606">
        <f t="shared" si="165"/>
        <v>0</v>
      </c>
      <c r="BF78" s="1609">
        <f t="shared" si="148"/>
        <v>0</v>
      </c>
      <c r="BG78" s="1609">
        <f t="shared" si="148"/>
        <v>0</v>
      </c>
      <c r="BH78" s="1609" t="e">
        <f t="shared" si="148"/>
        <v>#DIV/0!</v>
      </c>
      <c r="BI78" s="1609" t="e">
        <f t="shared" si="148"/>
        <v>#DIV/0!</v>
      </c>
      <c r="BJ78" s="1606">
        <f t="shared" si="7"/>
        <v>1078216936.8017492</v>
      </c>
      <c r="BK78" s="1616">
        <f t="shared" si="8"/>
        <v>434040033.80174929</v>
      </c>
      <c r="BL78" s="1617">
        <f t="shared" si="9"/>
        <v>0.40255352980191206</v>
      </c>
      <c r="BM78" s="1616">
        <f t="shared" si="10"/>
        <v>174190967.23807579</v>
      </c>
      <c r="BN78" s="1618">
        <f t="shared" si="11"/>
        <v>0.16155465685297812</v>
      </c>
      <c r="BO78" s="1606"/>
      <c r="BP78" s="1619"/>
      <c r="BQ78" s="1620"/>
      <c r="BR78" s="1621"/>
    </row>
    <row r="79" spans="1:70" ht="51" customHeight="1" thickBot="1">
      <c r="A79" s="1622" t="s">
        <v>599</v>
      </c>
      <c r="B79" s="1623" t="s">
        <v>2373</v>
      </c>
      <c r="C79" s="1025" t="s">
        <v>2181</v>
      </c>
      <c r="D79" s="1624">
        <v>22</v>
      </c>
      <c r="E79" s="1625">
        <v>22</v>
      </c>
      <c r="F79" s="1625">
        <v>22</v>
      </c>
      <c r="G79" s="1626">
        <v>22</v>
      </c>
      <c r="H79" s="1627">
        <v>22</v>
      </c>
      <c r="I79" s="1030">
        <v>22</v>
      </c>
      <c r="J79" s="1030"/>
      <c r="K79" s="1030"/>
      <c r="L79" s="1030"/>
      <c r="M79" s="1031"/>
      <c r="N79" s="1031"/>
      <c r="O79" s="1031"/>
      <c r="P79" s="1032">
        <f t="shared" ref="P79:S80" si="166">IF((H79+L79)/D79&gt;=100%,100%,(H79+L79)/D79)</f>
        <v>1</v>
      </c>
      <c r="Q79" s="1032">
        <f t="shared" si="166"/>
        <v>1</v>
      </c>
      <c r="R79" s="1032">
        <f t="shared" si="166"/>
        <v>0</v>
      </c>
      <c r="S79" s="1032">
        <f t="shared" si="166"/>
        <v>0</v>
      </c>
      <c r="T79" s="1628" t="s">
        <v>2374</v>
      </c>
      <c r="U79" s="1034">
        <v>46022</v>
      </c>
      <c r="V79" s="1035">
        <f t="shared" ref="V79:V80" si="167">SUM(D79:G79)</f>
        <v>88</v>
      </c>
      <c r="W79" s="1035">
        <f t="shared" ref="W79:W80" si="168">SUM(H79:N79)</f>
        <v>44</v>
      </c>
      <c r="X79" s="1279">
        <f t="shared" ref="X79:X80" si="169">IF(W79/V79&gt;=100%,100%,W79/V79)</f>
        <v>0.5</v>
      </c>
      <c r="Y79" s="1037">
        <v>0.5</v>
      </c>
      <c r="Z79" s="1037">
        <v>0.5</v>
      </c>
      <c r="AA79" s="1037">
        <v>0.5</v>
      </c>
      <c r="AB79" s="1037">
        <v>0.5</v>
      </c>
      <c r="AC79" s="1037">
        <v>0.5</v>
      </c>
      <c r="AD79" s="1137">
        <f>84787500+(24506311.8017493/2)</f>
        <v>97040655.900874645</v>
      </c>
      <c r="AE79" s="1038">
        <v>120000000</v>
      </c>
      <c r="AF79" s="1038">
        <v>157106250</v>
      </c>
      <c r="AG79" s="1038">
        <v>164961562.5</v>
      </c>
      <c r="AH79" s="1137">
        <f>84753752+(24506311.8017493/2)</f>
        <v>97006907.900874645</v>
      </c>
      <c r="AI79" s="1137">
        <v>119992470</v>
      </c>
      <c r="AJ79" s="1137"/>
      <c r="AK79" s="1137"/>
      <c r="AL79" s="1039">
        <f t="shared" si="146"/>
        <v>0.99965222823684874</v>
      </c>
      <c r="AM79" s="1039">
        <f t="shared" si="146"/>
        <v>0.99993725</v>
      </c>
      <c r="AN79" s="1039">
        <f t="shared" si="146"/>
        <v>0</v>
      </c>
      <c r="AO79" s="1039">
        <f t="shared" si="146"/>
        <v>0</v>
      </c>
      <c r="AP79" s="1283">
        <f>9825861+(20161847.8180758/2)</f>
        <v>19906784.909037899</v>
      </c>
      <c r="AQ79" s="1041">
        <v>113657958.20999999</v>
      </c>
      <c r="AR79" s="1552"/>
      <c r="AS79" s="1042"/>
      <c r="AT79" s="1043">
        <f t="shared" si="147"/>
        <v>0.20513860633188977</v>
      </c>
      <c r="AU79" s="1043">
        <f t="shared" si="147"/>
        <v>0.94714965174999999</v>
      </c>
      <c r="AV79" s="1043">
        <f t="shared" si="147"/>
        <v>0</v>
      </c>
      <c r="AW79" s="1043">
        <f t="shared" si="147"/>
        <v>0</v>
      </c>
      <c r="AX79" s="1044">
        <f t="shared" ref="AX79:BA80" si="170">+AH79-AP79</f>
        <v>77100122.991836742</v>
      </c>
      <c r="AY79" s="1044">
        <f t="shared" si="170"/>
        <v>6334511.7900000066</v>
      </c>
      <c r="AZ79" s="1044">
        <f t="shared" si="170"/>
        <v>0</v>
      </c>
      <c r="BA79" s="1044">
        <f t="shared" si="170"/>
        <v>0</v>
      </c>
      <c r="BB79" s="1283"/>
      <c r="BC79" s="1283"/>
      <c r="BD79" s="1283"/>
      <c r="BE79" s="1283"/>
      <c r="BF79" s="1045">
        <f t="shared" si="148"/>
        <v>0</v>
      </c>
      <c r="BG79" s="1045">
        <f t="shared" si="148"/>
        <v>0</v>
      </c>
      <c r="BH79" s="1045" t="e">
        <f t="shared" si="148"/>
        <v>#DIV/0!</v>
      </c>
      <c r="BI79" s="1045" t="e">
        <f t="shared" si="148"/>
        <v>#DIV/0!</v>
      </c>
      <c r="BJ79" s="1283">
        <f t="shared" si="7"/>
        <v>539108468.40087461</v>
      </c>
      <c r="BK79" s="1046">
        <f t="shared" si="8"/>
        <v>216999377.90087464</v>
      </c>
      <c r="BL79" s="1047">
        <f t="shared" si="9"/>
        <v>0.40251524622595336</v>
      </c>
      <c r="BM79" s="1046">
        <f t="shared" si="10"/>
        <v>133564743.1190379</v>
      </c>
      <c r="BN79" s="1048">
        <f t="shared" si="11"/>
        <v>0.24775115018174923</v>
      </c>
      <c r="BO79" s="1049" t="s">
        <v>2375</v>
      </c>
      <c r="BP79" s="1629" t="s">
        <v>2376</v>
      </c>
      <c r="BQ79" s="1410" t="s">
        <v>2377</v>
      </c>
      <c r="BR79" s="1348" t="s">
        <v>596</v>
      </c>
    </row>
    <row r="80" spans="1:70" ht="51" customHeight="1" thickBot="1">
      <c r="A80" s="1561" t="s">
        <v>600</v>
      </c>
      <c r="B80" s="1630" t="s">
        <v>2378</v>
      </c>
      <c r="C80" s="1152" t="s">
        <v>2181</v>
      </c>
      <c r="D80" s="1631">
        <v>1</v>
      </c>
      <c r="E80" s="1632">
        <v>1</v>
      </c>
      <c r="F80" s="1632">
        <v>1</v>
      </c>
      <c r="G80" s="1633">
        <v>1</v>
      </c>
      <c r="H80" s="1634">
        <v>1</v>
      </c>
      <c r="I80" s="1182">
        <v>2</v>
      </c>
      <c r="J80" s="1182"/>
      <c r="K80" s="1182"/>
      <c r="L80" s="1182"/>
      <c r="M80" s="1101"/>
      <c r="N80" s="1101"/>
      <c r="O80" s="1101"/>
      <c r="P80" s="1102">
        <f t="shared" si="166"/>
        <v>1</v>
      </c>
      <c r="Q80" s="1102">
        <f t="shared" si="166"/>
        <v>1</v>
      </c>
      <c r="R80" s="1102">
        <f t="shared" si="166"/>
        <v>0</v>
      </c>
      <c r="S80" s="1102">
        <f t="shared" si="166"/>
        <v>0</v>
      </c>
      <c r="T80" s="1635" t="s">
        <v>2379</v>
      </c>
      <c r="U80" s="1034">
        <v>46022</v>
      </c>
      <c r="V80" s="1035">
        <f t="shared" si="167"/>
        <v>4</v>
      </c>
      <c r="W80" s="1035">
        <f t="shared" si="168"/>
        <v>3</v>
      </c>
      <c r="X80" s="1291">
        <f t="shared" si="169"/>
        <v>0.75</v>
      </c>
      <c r="Y80" s="1104">
        <v>0.5</v>
      </c>
      <c r="Z80" s="1104">
        <v>0.5</v>
      </c>
      <c r="AA80" s="1104">
        <v>0.5</v>
      </c>
      <c r="AB80" s="1104">
        <v>0.5</v>
      </c>
      <c r="AC80" s="1104">
        <v>0.5</v>
      </c>
      <c r="AD80" s="1106">
        <f>84787500+(24506311.8017493/2)</f>
        <v>97040655.900874645</v>
      </c>
      <c r="AE80" s="1106">
        <v>120000000</v>
      </c>
      <c r="AF80" s="1106">
        <v>157106250</v>
      </c>
      <c r="AG80" s="1106">
        <v>164961562.5</v>
      </c>
      <c r="AH80" s="1106">
        <f>84787500+(24506311.8017493/2)</f>
        <v>97040655.900874645</v>
      </c>
      <c r="AI80" s="1106">
        <v>120000000</v>
      </c>
      <c r="AJ80" s="1106"/>
      <c r="AK80" s="1106"/>
      <c r="AL80" s="1295">
        <f t="shared" si="146"/>
        <v>1</v>
      </c>
      <c r="AM80" s="1295">
        <f t="shared" si="146"/>
        <v>1</v>
      </c>
      <c r="AN80" s="1295">
        <f t="shared" si="146"/>
        <v>0</v>
      </c>
      <c r="AO80" s="1295">
        <f t="shared" si="146"/>
        <v>0</v>
      </c>
      <c r="AP80" s="1107">
        <f>0+(20161847.8180758/2)</f>
        <v>10080923.909037899</v>
      </c>
      <c r="AQ80" s="1187">
        <v>30545300.210000001</v>
      </c>
      <c r="AR80" s="1567"/>
      <c r="AS80" s="1188"/>
      <c r="AT80" s="1189">
        <f t="shared" si="147"/>
        <v>0.10388350960174247</v>
      </c>
      <c r="AU80" s="1189">
        <f t="shared" si="147"/>
        <v>0.25454416841666666</v>
      </c>
      <c r="AV80" s="1189">
        <f t="shared" si="147"/>
        <v>0</v>
      </c>
      <c r="AW80" s="1189">
        <f t="shared" si="147"/>
        <v>0</v>
      </c>
      <c r="AX80" s="1044">
        <f t="shared" si="170"/>
        <v>86959731.991836742</v>
      </c>
      <c r="AY80" s="1044">
        <f t="shared" si="170"/>
        <v>89454699.789999992</v>
      </c>
      <c r="AZ80" s="1044">
        <f t="shared" si="170"/>
        <v>0</v>
      </c>
      <c r="BA80" s="1044">
        <f t="shared" si="170"/>
        <v>0</v>
      </c>
      <c r="BB80" s="1107"/>
      <c r="BC80" s="1107"/>
      <c r="BD80" s="1107"/>
      <c r="BE80" s="1107"/>
      <c r="BF80" s="1190">
        <f t="shared" si="148"/>
        <v>0</v>
      </c>
      <c r="BG80" s="1190">
        <f t="shared" si="148"/>
        <v>0</v>
      </c>
      <c r="BH80" s="1190" t="e">
        <f t="shared" si="148"/>
        <v>#DIV/0!</v>
      </c>
      <c r="BI80" s="1190" t="e">
        <f t="shared" si="148"/>
        <v>#DIV/0!</v>
      </c>
      <c r="BJ80" s="1107">
        <f t="shared" si="7"/>
        <v>539108468.40087461</v>
      </c>
      <c r="BK80" s="1110">
        <f t="shared" si="8"/>
        <v>217040655.90087464</v>
      </c>
      <c r="BL80" s="1111">
        <f t="shared" si="9"/>
        <v>0.40259181337787076</v>
      </c>
      <c r="BM80" s="1110">
        <f t="shared" si="10"/>
        <v>40626224.119037896</v>
      </c>
      <c r="BN80" s="1112">
        <f t="shared" si="11"/>
        <v>7.5358163524207003E-2</v>
      </c>
      <c r="BO80" s="1049" t="s">
        <v>2375</v>
      </c>
      <c r="BP80" s="1435" t="s">
        <v>2376</v>
      </c>
      <c r="BQ80" s="1436" t="s">
        <v>2377</v>
      </c>
      <c r="BR80" s="1636" t="s">
        <v>596</v>
      </c>
    </row>
    <row r="81" spans="1:70" ht="51" customHeight="1" thickBot="1">
      <c r="A81" s="1637" t="s">
        <v>2380</v>
      </c>
      <c r="B81" s="1637"/>
      <c r="C81" s="1638"/>
      <c r="D81" s="1638"/>
      <c r="E81" s="1639"/>
      <c r="F81" s="1639"/>
      <c r="G81" s="1639"/>
      <c r="H81" s="1639"/>
      <c r="I81" s="1639"/>
      <c r="J81" s="1639"/>
      <c r="K81" s="1639"/>
      <c r="L81" s="1639"/>
      <c r="M81" s="1639"/>
      <c r="N81" s="1639"/>
      <c r="O81" s="1639"/>
      <c r="P81" s="1640">
        <f>+SUMPRODUCT(P82:P84,Z82:Z84)</f>
        <v>1</v>
      </c>
      <c r="Q81" s="1641">
        <f>+SUMPRODUCT(Q82:Q84,AA82:AA84)</f>
        <v>1</v>
      </c>
      <c r="R81" s="1642">
        <f>+SUMPRODUCT(R82:R84,AB82:AB84)</f>
        <v>0</v>
      </c>
      <c r="S81" s="1642">
        <f>+SUMPRODUCT(S82:S84,AC82:AC84)</f>
        <v>0</v>
      </c>
      <c r="T81" s="1643"/>
      <c r="U81" s="1637"/>
      <c r="V81" s="1644"/>
      <c r="W81" s="1645"/>
      <c r="X81" s="1640">
        <f>+SUMPRODUCT(X82:X84,Y82:Y84)</f>
        <v>0.46936090225563909</v>
      </c>
      <c r="Y81" s="1641">
        <v>0.1</v>
      </c>
      <c r="Z81" s="1641">
        <v>0.1</v>
      </c>
      <c r="AA81" s="1641">
        <v>0.1</v>
      </c>
      <c r="AB81" s="1641">
        <v>0.1</v>
      </c>
      <c r="AC81" s="1641">
        <v>0.1</v>
      </c>
      <c r="AD81" s="1638">
        <f>SUM(AD82:AD84)</f>
        <v>420509508.90379012</v>
      </c>
      <c r="AE81" s="1638">
        <f>SUM(AE82:AE84)</f>
        <v>560000000</v>
      </c>
      <c r="AF81" s="1638">
        <f t="shared" ref="AF81:AG81" si="171">SUM(AF82:AF84)</f>
        <v>680793750</v>
      </c>
      <c r="AG81" s="1638">
        <f t="shared" si="171"/>
        <v>714833437.5</v>
      </c>
      <c r="AH81" s="1638">
        <f>SUM(AH82:AH84)</f>
        <v>420313770.90379012</v>
      </c>
      <c r="AI81" s="1638">
        <f t="shared" ref="AI81:AK81" si="172">SUM(AI82:AI84)</f>
        <v>559107529</v>
      </c>
      <c r="AJ81" s="1638">
        <f t="shared" si="172"/>
        <v>0</v>
      </c>
      <c r="AK81" s="1638">
        <f t="shared" si="172"/>
        <v>0</v>
      </c>
      <c r="AL81" s="1646">
        <f t="shared" si="146"/>
        <v>0.99953452182208613</v>
      </c>
      <c r="AM81" s="1646">
        <f t="shared" si="146"/>
        <v>0.99840630178571432</v>
      </c>
      <c r="AN81" s="1646">
        <f t="shared" si="146"/>
        <v>0</v>
      </c>
      <c r="AO81" s="1646">
        <f t="shared" si="146"/>
        <v>0</v>
      </c>
      <c r="AP81" s="1638">
        <f t="shared" ref="AP81:AS81" si="173">SUM(AP82:AP84)</f>
        <v>273067092.60583091</v>
      </c>
      <c r="AQ81" s="1638">
        <f t="shared" si="173"/>
        <v>512083145.07000005</v>
      </c>
      <c r="AR81" s="1638">
        <f t="shared" si="173"/>
        <v>0</v>
      </c>
      <c r="AS81" s="1638">
        <f t="shared" si="173"/>
        <v>0</v>
      </c>
      <c r="AT81" s="1646">
        <f t="shared" si="147"/>
        <v>0.649371980475968</v>
      </c>
      <c r="AU81" s="1646">
        <f t="shared" si="147"/>
        <v>0.91443418762500006</v>
      </c>
      <c r="AV81" s="1646">
        <f t="shared" si="147"/>
        <v>0</v>
      </c>
      <c r="AW81" s="1646">
        <f t="shared" si="147"/>
        <v>0</v>
      </c>
      <c r="AX81" s="1638">
        <f t="shared" ref="AX81:BE81" si="174">SUM(AX82:AX84)</f>
        <v>147246678.29795921</v>
      </c>
      <c r="AY81" s="1638">
        <f t="shared" si="174"/>
        <v>47024383.930000007</v>
      </c>
      <c r="AZ81" s="1638">
        <f t="shared" si="174"/>
        <v>0</v>
      </c>
      <c r="BA81" s="1638">
        <f t="shared" si="174"/>
        <v>0</v>
      </c>
      <c r="BB81" s="1638">
        <f t="shared" si="174"/>
        <v>0</v>
      </c>
      <c r="BC81" s="1638">
        <f t="shared" si="174"/>
        <v>0</v>
      </c>
      <c r="BD81" s="1638">
        <f t="shared" si="174"/>
        <v>0</v>
      </c>
      <c r="BE81" s="1638">
        <f t="shared" si="174"/>
        <v>0</v>
      </c>
      <c r="BF81" s="1641">
        <f t="shared" si="148"/>
        <v>0</v>
      </c>
      <c r="BG81" s="1641">
        <f t="shared" si="148"/>
        <v>0</v>
      </c>
      <c r="BH81" s="1641" t="e">
        <f t="shared" si="148"/>
        <v>#DIV/0!</v>
      </c>
      <c r="BI81" s="1641" t="e">
        <f t="shared" si="148"/>
        <v>#DIV/0!</v>
      </c>
      <c r="BJ81" s="1638">
        <f t="shared" si="7"/>
        <v>2376136696.40379</v>
      </c>
      <c r="BK81" s="1647">
        <f t="shared" si="8"/>
        <v>979421299.90379012</v>
      </c>
      <c r="BL81" s="1648">
        <f t="shared" si="9"/>
        <v>0.41219063759509889</v>
      </c>
      <c r="BM81" s="1647">
        <f t="shared" si="10"/>
        <v>785150237.67583096</v>
      </c>
      <c r="BN81" s="1649">
        <f t="shared" si="11"/>
        <v>0.33043142629972921</v>
      </c>
      <c r="BO81" s="1638"/>
      <c r="BP81" s="1650"/>
      <c r="BQ81" s="1651"/>
      <c r="BR81" s="1652"/>
    </row>
    <row r="82" spans="1:70" ht="51" customHeight="1" thickBot="1">
      <c r="A82" s="1622" t="s">
        <v>601</v>
      </c>
      <c r="B82" s="1623" t="s">
        <v>2381</v>
      </c>
      <c r="C82" s="1025" t="s">
        <v>2181</v>
      </c>
      <c r="D82" s="1624">
        <v>25</v>
      </c>
      <c r="E82" s="1625">
        <v>40</v>
      </c>
      <c r="F82" s="1625">
        <v>40</v>
      </c>
      <c r="G82" s="1626">
        <v>28</v>
      </c>
      <c r="H82" s="1627">
        <v>25</v>
      </c>
      <c r="I82" s="1030">
        <v>40</v>
      </c>
      <c r="J82" s="1030"/>
      <c r="K82" s="1030"/>
      <c r="L82" s="1030"/>
      <c r="M82" s="1031"/>
      <c r="N82" s="1031"/>
      <c r="O82" s="1031"/>
      <c r="P82" s="1032">
        <f t="shared" ref="P82:S84" si="175">IF((H82+L82)/D82&gt;=100%,100%,(H82+L82)/D82)</f>
        <v>1</v>
      </c>
      <c r="Q82" s="1032">
        <f t="shared" si="175"/>
        <v>1</v>
      </c>
      <c r="R82" s="1032">
        <f t="shared" si="175"/>
        <v>0</v>
      </c>
      <c r="S82" s="1032">
        <f t="shared" si="175"/>
        <v>0</v>
      </c>
      <c r="T82" s="1628" t="s">
        <v>2382</v>
      </c>
      <c r="U82" s="1034">
        <v>46022</v>
      </c>
      <c r="V82" s="1035">
        <f t="shared" ref="V82:V84" si="176">SUM(D82:G82)</f>
        <v>133</v>
      </c>
      <c r="W82" s="1035">
        <f t="shared" ref="W82:W84" si="177">SUM(H82:N82)</f>
        <v>65</v>
      </c>
      <c r="X82" s="1279">
        <f t="shared" ref="X82:X84" si="178">IF(W82/V82&gt;=100%,100%,W82/V82)</f>
        <v>0.48872180451127817</v>
      </c>
      <c r="Y82" s="1037">
        <v>0.5</v>
      </c>
      <c r="Z82" s="1037">
        <v>0.5</v>
      </c>
      <c r="AA82" s="1037">
        <v>0.5</v>
      </c>
      <c r="AB82" s="1037">
        <v>0.5</v>
      </c>
      <c r="AC82" s="1037">
        <v>0.5</v>
      </c>
      <c r="AD82" s="1137">
        <f>197837500+53097008.9037901</f>
        <v>250934508.90379012</v>
      </c>
      <c r="AE82" s="1137">
        <v>300000000</v>
      </c>
      <c r="AF82" s="1137">
        <v>366581250</v>
      </c>
      <c r="AG82" s="1137">
        <v>384910312.5</v>
      </c>
      <c r="AH82" s="1137">
        <f>197772254+53097008.9037901</f>
        <v>250869262.90379012</v>
      </c>
      <c r="AI82" s="1137">
        <v>299107530</v>
      </c>
      <c r="AJ82" s="1137"/>
      <c r="AK82" s="1137"/>
      <c r="AL82" s="1039">
        <f t="shared" si="146"/>
        <v>0.9997399879343617</v>
      </c>
      <c r="AM82" s="1039">
        <f t="shared" si="146"/>
        <v>0.9970251</v>
      </c>
      <c r="AN82" s="1039">
        <f t="shared" si="146"/>
        <v>0</v>
      </c>
      <c r="AO82" s="1039">
        <f t="shared" si="146"/>
        <v>0</v>
      </c>
      <c r="AP82" s="1138">
        <f>189794363+43684003.6058309</f>
        <v>233478366.60583091</v>
      </c>
      <c r="AQ82" s="1139">
        <v>267316835.87</v>
      </c>
      <c r="AR82" s="1552"/>
      <c r="AS82" s="1042"/>
      <c r="AT82" s="1043">
        <f t="shared" si="147"/>
        <v>0.93043546551561784</v>
      </c>
      <c r="AU82" s="1043">
        <f t="shared" si="147"/>
        <v>0.89105611956666664</v>
      </c>
      <c r="AV82" s="1043">
        <f t="shared" si="147"/>
        <v>0</v>
      </c>
      <c r="AW82" s="1043">
        <f t="shared" si="147"/>
        <v>0</v>
      </c>
      <c r="AX82" s="1044">
        <f t="shared" ref="AX82:BA84" si="179">+AH82-AP82</f>
        <v>17390896.297959208</v>
      </c>
      <c r="AY82" s="1044">
        <f t="shared" si="179"/>
        <v>31790694.129999995</v>
      </c>
      <c r="AZ82" s="1044">
        <f t="shared" si="179"/>
        <v>0</v>
      </c>
      <c r="BA82" s="1044">
        <f t="shared" si="179"/>
        <v>0</v>
      </c>
      <c r="BB82" s="1283"/>
      <c r="BC82" s="1283"/>
      <c r="BD82" s="1283"/>
      <c r="BE82" s="1283"/>
      <c r="BF82" s="1045">
        <f t="shared" si="148"/>
        <v>0</v>
      </c>
      <c r="BG82" s="1045">
        <f t="shared" si="148"/>
        <v>0</v>
      </c>
      <c r="BH82" s="1045" t="e">
        <f t="shared" si="148"/>
        <v>#DIV/0!</v>
      </c>
      <c r="BI82" s="1045" t="e">
        <f t="shared" si="148"/>
        <v>#DIV/0!</v>
      </c>
      <c r="BJ82" s="1283">
        <f t="shared" si="7"/>
        <v>1302426071.40379</v>
      </c>
      <c r="BK82" s="1046">
        <f t="shared" si="8"/>
        <v>549976792.90379012</v>
      </c>
      <c r="BL82" s="1047">
        <f t="shared" si="9"/>
        <v>0.42227102557230772</v>
      </c>
      <c r="BM82" s="1046">
        <f t="shared" si="10"/>
        <v>500795202.47583091</v>
      </c>
      <c r="BN82" s="1048">
        <f t="shared" si="11"/>
        <v>0.38450950381856247</v>
      </c>
      <c r="BO82" s="1049" t="s">
        <v>2375</v>
      </c>
      <c r="BP82" s="1629" t="s">
        <v>2376</v>
      </c>
      <c r="BQ82" s="1410" t="s">
        <v>2377</v>
      </c>
      <c r="BR82" s="1653" t="s">
        <v>596</v>
      </c>
    </row>
    <row r="83" spans="1:70" ht="51" customHeight="1" thickBot="1">
      <c r="A83" s="1654" t="s">
        <v>602</v>
      </c>
      <c r="B83" s="1655" t="s">
        <v>2383</v>
      </c>
      <c r="C83" s="1055" t="s">
        <v>2181</v>
      </c>
      <c r="D83" s="1656">
        <v>5</v>
      </c>
      <c r="E83" s="1657">
        <v>15</v>
      </c>
      <c r="F83" s="1657">
        <v>15</v>
      </c>
      <c r="G83" s="1658">
        <v>15</v>
      </c>
      <c r="H83" s="1659">
        <v>5</v>
      </c>
      <c r="I83" s="1060">
        <v>15</v>
      </c>
      <c r="J83" s="1060"/>
      <c r="K83" s="1060"/>
      <c r="L83" s="1060"/>
      <c r="M83" s="1061"/>
      <c r="N83" s="1061"/>
      <c r="O83" s="1061"/>
      <c r="P83" s="1062">
        <f t="shared" si="175"/>
        <v>1</v>
      </c>
      <c r="Q83" s="1062">
        <f t="shared" si="175"/>
        <v>1</v>
      </c>
      <c r="R83" s="1062">
        <f t="shared" si="175"/>
        <v>0</v>
      </c>
      <c r="S83" s="1062">
        <f t="shared" si="175"/>
        <v>0</v>
      </c>
      <c r="T83" s="1628" t="s">
        <v>2384</v>
      </c>
      <c r="U83" s="1034">
        <v>46022</v>
      </c>
      <c r="V83" s="1035">
        <f t="shared" si="176"/>
        <v>50</v>
      </c>
      <c r="W83" s="1035">
        <f t="shared" si="177"/>
        <v>20</v>
      </c>
      <c r="X83" s="1327">
        <f t="shared" si="178"/>
        <v>0.4</v>
      </c>
      <c r="Y83" s="1065">
        <v>0.25</v>
      </c>
      <c r="Z83" s="1065">
        <v>0.25</v>
      </c>
      <c r="AA83" s="1065">
        <v>0.25</v>
      </c>
      <c r="AB83" s="1065">
        <v>0.25</v>
      </c>
      <c r="AC83" s="1065">
        <v>0.25</v>
      </c>
      <c r="AD83" s="1066">
        <v>84787500</v>
      </c>
      <c r="AE83" s="1066">
        <v>130000000</v>
      </c>
      <c r="AF83" s="1066">
        <v>157106250</v>
      </c>
      <c r="AG83" s="1066">
        <v>164961562.5</v>
      </c>
      <c r="AH83" s="1066">
        <v>84722254</v>
      </c>
      <c r="AI83" s="1066">
        <v>129999999</v>
      </c>
      <c r="AJ83" s="1066"/>
      <c r="AK83" s="1066"/>
      <c r="AL83" s="1173">
        <f t="shared" si="146"/>
        <v>0.99923047619047622</v>
      </c>
      <c r="AM83" s="1173">
        <f t="shared" si="146"/>
        <v>0.99999999230769232</v>
      </c>
      <c r="AN83" s="1173">
        <f t="shared" si="146"/>
        <v>0</v>
      </c>
      <c r="AO83" s="1173">
        <f t="shared" si="146"/>
        <v>0</v>
      </c>
      <c r="AP83" s="1087">
        <v>29794363</v>
      </c>
      <c r="AQ83" s="1068">
        <v>121587417.59999999</v>
      </c>
      <c r="AR83" s="1560"/>
      <c r="AS83" s="1069"/>
      <c r="AT83" s="1140">
        <f t="shared" si="147"/>
        <v>0.35140041869379329</v>
      </c>
      <c r="AU83" s="1140">
        <f t="shared" si="147"/>
        <v>0.93528782769230767</v>
      </c>
      <c r="AV83" s="1140">
        <f t="shared" si="147"/>
        <v>0</v>
      </c>
      <c r="AW83" s="1140">
        <f t="shared" si="147"/>
        <v>0</v>
      </c>
      <c r="AX83" s="1044">
        <f t="shared" si="179"/>
        <v>54927891</v>
      </c>
      <c r="AY83" s="1044">
        <f t="shared" si="179"/>
        <v>8412581.400000006</v>
      </c>
      <c r="AZ83" s="1044">
        <f t="shared" si="179"/>
        <v>0</v>
      </c>
      <c r="BA83" s="1044">
        <f t="shared" si="179"/>
        <v>0</v>
      </c>
      <c r="BB83" s="1070"/>
      <c r="BC83" s="1070"/>
      <c r="BD83" s="1070"/>
      <c r="BE83" s="1070"/>
      <c r="BF83" s="1071">
        <f t="shared" si="148"/>
        <v>0</v>
      </c>
      <c r="BG83" s="1071">
        <f t="shared" si="148"/>
        <v>0</v>
      </c>
      <c r="BH83" s="1071" t="e">
        <f t="shared" si="148"/>
        <v>#DIV/0!</v>
      </c>
      <c r="BI83" s="1071" t="e">
        <f t="shared" si="148"/>
        <v>#DIV/0!</v>
      </c>
      <c r="BJ83" s="1070">
        <f t="shared" si="7"/>
        <v>536855312.5</v>
      </c>
      <c r="BK83" s="1072">
        <f t="shared" si="8"/>
        <v>214722253</v>
      </c>
      <c r="BL83" s="1073">
        <f t="shared" si="9"/>
        <v>0.39996298444005807</v>
      </c>
      <c r="BM83" s="1072">
        <f t="shared" si="10"/>
        <v>151381780.59999999</v>
      </c>
      <c r="BN83" s="1074"/>
      <c r="BO83" s="1075"/>
      <c r="BP83" s="1660" t="s">
        <v>2376</v>
      </c>
      <c r="BQ83" s="1420" t="s">
        <v>2377</v>
      </c>
      <c r="BR83" s="1661" t="s">
        <v>596</v>
      </c>
    </row>
    <row r="84" spans="1:70" ht="51" customHeight="1" thickBot="1">
      <c r="A84" s="1561" t="s">
        <v>603</v>
      </c>
      <c r="B84" s="1630" t="s">
        <v>2385</v>
      </c>
      <c r="C84" s="1152" t="s">
        <v>2181</v>
      </c>
      <c r="D84" s="1631">
        <v>1</v>
      </c>
      <c r="E84" s="1632">
        <v>1</v>
      </c>
      <c r="F84" s="1632">
        <v>1</v>
      </c>
      <c r="G84" s="1633">
        <v>1</v>
      </c>
      <c r="H84" s="1634">
        <v>1</v>
      </c>
      <c r="I84" s="1182">
        <v>1</v>
      </c>
      <c r="J84" s="1662"/>
      <c r="K84" s="1662"/>
      <c r="L84" s="1182"/>
      <c r="M84" s="1663"/>
      <c r="N84" s="1663"/>
      <c r="O84" s="1663"/>
      <c r="P84" s="1102">
        <f t="shared" si="175"/>
        <v>1</v>
      </c>
      <c r="Q84" s="1157">
        <f t="shared" si="175"/>
        <v>1</v>
      </c>
      <c r="R84" s="1157">
        <f t="shared" si="175"/>
        <v>0</v>
      </c>
      <c r="S84" s="1157">
        <f t="shared" si="175"/>
        <v>0</v>
      </c>
      <c r="T84" s="1635" t="s">
        <v>2386</v>
      </c>
      <c r="U84" s="1034">
        <v>46022</v>
      </c>
      <c r="V84" s="1035">
        <f t="shared" si="176"/>
        <v>4</v>
      </c>
      <c r="W84" s="1035">
        <f t="shared" si="177"/>
        <v>2</v>
      </c>
      <c r="X84" s="1291">
        <f t="shared" si="178"/>
        <v>0.5</v>
      </c>
      <c r="Y84" s="1104">
        <v>0.25</v>
      </c>
      <c r="Z84" s="1104">
        <v>0.25</v>
      </c>
      <c r="AA84" s="1104">
        <v>0.25</v>
      </c>
      <c r="AB84" s="1104">
        <v>0.25</v>
      </c>
      <c r="AC84" s="1104">
        <v>0.25</v>
      </c>
      <c r="AD84" s="1106">
        <v>84787500</v>
      </c>
      <c r="AE84" s="1106">
        <v>130000000</v>
      </c>
      <c r="AF84" s="1106">
        <v>157106250</v>
      </c>
      <c r="AG84" s="1106">
        <v>164961562.5</v>
      </c>
      <c r="AH84" s="1106">
        <v>84722254</v>
      </c>
      <c r="AI84" s="1106">
        <v>130000000</v>
      </c>
      <c r="AJ84" s="1106"/>
      <c r="AK84" s="1106"/>
      <c r="AL84" s="1295">
        <f t="shared" si="146"/>
        <v>0.99923047619047622</v>
      </c>
      <c r="AM84" s="1295">
        <f t="shared" si="146"/>
        <v>1</v>
      </c>
      <c r="AN84" s="1295">
        <f t="shared" si="146"/>
        <v>0</v>
      </c>
      <c r="AO84" s="1295">
        <f t="shared" si="146"/>
        <v>0</v>
      </c>
      <c r="AP84" s="1109">
        <v>9794363</v>
      </c>
      <c r="AQ84" s="1187">
        <v>123178891.59999999</v>
      </c>
      <c r="AR84" s="1434"/>
      <c r="AS84" s="1188"/>
      <c r="AT84" s="1189">
        <f t="shared" si="147"/>
        <v>0.11551659147869674</v>
      </c>
      <c r="AU84" s="1189">
        <f t="shared" si="147"/>
        <v>0.94752993538461538</v>
      </c>
      <c r="AV84" s="1189">
        <f t="shared" si="147"/>
        <v>0</v>
      </c>
      <c r="AW84" s="1189">
        <f t="shared" si="147"/>
        <v>0</v>
      </c>
      <c r="AX84" s="1044">
        <f t="shared" si="179"/>
        <v>74927891</v>
      </c>
      <c r="AY84" s="1044">
        <f t="shared" si="179"/>
        <v>6821108.400000006</v>
      </c>
      <c r="AZ84" s="1044">
        <f t="shared" si="179"/>
        <v>0</v>
      </c>
      <c r="BA84" s="1044">
        <f t="shared" si="179"/>
        <v>0</v>
      </c>
      <c r="BB84" s="1107"/>
      <c r="BC84" s="1107"/>
      <c r="BD84" s="1107"/>
      <c r="BE84" s="1107"/>
      <c r="BF84" s="1190">
        <f t="shared" si="148"/>
        <v>0</v>
      </c>
      <c r="BG84" s="1190">
        <f t="shared" si="148"/>
        <v>0</v>
      </c>
      <c r="BH84" s="1190" t="e">
        <f t="shared" si="148"/>
        <v>#DIV/0!</v>
      </c>
      <c r="BI84" s="1190" t="e">
        <f t="shared" si="148"/>
        <v>#DIV/0!</v>
      </c>
      <c r="BJ84" s="1107">
        <f t="shared" si="7"/>
        <v>536855312.5</v>
      </c>
      <c r="BK84" s="1110">
        <f t="shared" si="8"/>
        <v>214722254</v>
      </c>
      <c r="BL84" s="1111">
        <f t="shared" si="9"/>
        <v>0.39996298630275734</v>
      </c>
      <c r="BM84" s="1110">
        <f t="shared" si="10"/>
        <v>132973254.59999999</v>
      </c>
      <c r="BN84" s="1112">
        <f t="shared" ref="BN84:BN147" si="180">+BM84/BJ84</f>
        <v>0.24768918459757255</v>
      </c>
      <c r="BO84" s="1113"/>
      <c r="BP84" s="1435" t="s">
        <v>2376</v>
      </c>
      <c r="BQ84" s="1436" t="s">
        <v>2377</v>
      </c>
      <c r="BR84" s="1664" t="s">
        <v>596</v>
      </c>
    </row>
    <row r="85" spans="1:70" ht="51" customHeight="1" thickBot="1">
      <c r="A85" s="1637" t="s">
        <v>2387</v>
      </c>
      <c r="B85" s="1637"/>
      <c r="C85" s="1638"/>
      <c r="D85" s="1638"/>
      <c r="E85" s="1639"/>
      <c r="F85" s="1639"/>
      <c r="G85" s="1639"/>
      <c r="H85" s="1639"/>
      <c r="I85" s="1639"/>
      <c r="J85" s="1639"/>
      <c r="K85" s="1639"/>
      <c r="L85" s="1639"/>
      <c r="M85" s="1639"/>
      <c r="N85" s="1639"/>
      <c r="O85" s="1639"/>
      <c r="P85" s="1640">
        <f>+SUMPRODUCT(P86:P91,Z86:Z91)</f>
        <v>1</v>
      </c>
      <c r="Q85" s="1641">
        <f>+SUMPRODUCT(Q86:Q91,AA86:AA91)</f>
        <v>1</v>
      </c>
      <c r="R85" s="1642" t="e">
        <f>+SUMPRODUCT(R86:R291,AB86:AB291)</f>
        <v>#DIV/0!</v>
      </c>
      <c r="S85" s="1642" t="e">
        <f>+SUMPRODUCT(S86:S291,AC86:AC291)</f>
        <v>#DIV/0!</v>
      </c>
      <c r="T85" s="1665"/>
      <c r="U85" s="1637"/>
      <c r="V85" s="1644"/>
      <c r="W85" s="1645"/>
      <c r="X85" s="1640">
        <f>+SUMPRODUCT(X86:X91,Y86:Y91)</f>
        <v>0.55013888888888896</v>
      </c>
      <c r="Y85" s="1641">
        <v>0.55000000000000004</v>
      </c>
      <c r="Z85" s="1641">
        <v>0.55000000000000004</v>
      </c>
      <c r="AA85" s="1641">
        <v>0.55000000000000004</v>
      </c>
      <c r="AB85" s="1641">
        <v>0.55000000000000004</v>
      </c>
      <c r="AC85" s="1641">
        <v>0.55000000000000004</v>
      </c>
      <c r="AD85" s="1638">
        <f>SUM(AD86:AD91)</f>
        <v>2442189840.1720119</v>
      </c>
      <c r="AE85" s="1638">
        <f>SUM(AE86:AE91)</f>
        <v>3140000000</v>
      </c>
      <c r="AF85" s="1638">
        <f t="shared" ref="AF85:AG85" si="181">SUM(AF86:AF91)</f>
        <v>3953840625</v>
      </c>
      <c r="AG85" s="1638">
        <f t="shared" si="181"/>
        <v>4151532656.25</v>
      </c>
      <c r="AH85" s="1638">
        <f>SUM(AH86:AH91)</f>
        <v>2441447288.1720119</v>
      </c>
      <c r="AI85" s="1638">
        <f t="shared" ref="AI85:AK85" si="182">SUM(AI86:AI91)</f>
        <v>3124800001</v>
      </c>
      <c r="AJ85" s="1638">
        <f t="shared" si="182"/>
        <v>0</v>
      </c>
      <c r="AK85" s="1638">
        <f t="shared" si="182"/>
        <v>0</v>
      </c>
      <c r="AL85" s="1646">
        <f t="shared" si="146"/>
        <v>0.9996959482887916</v>
      </c>
      <c r="AM85" s="1646">
        <f t="shared" si="146"/>
        <v>0.99515923598726119</v>
      </c>
      <c r="AN85" s="1646">
        <f t="shared" si="146"/>
        <v>0</v>
      </c>
      <c r="AO85" s="1646">
        <f t="shared" si="146"/>
        <v>0</v>
      </c>
      <c r="AP85" s="1638">
        <f t="shared" ref="AP85:AS85" si="183">SUM(AP86:AP91)</f>
        <v>2367337623.7107868</v>
      </c>
      <c r="AQ85" s="1638">
        <f t="shared" si="183"/>
        <v>2768954450.6500001</v>
      </c>
      <c r="AR85" s="1638">
        <f t="shared" si="183"/>
        <v>0</v>
      </c>
      <c r="AS85" s="1638">
        <f t="shared" si="183"/>
        <v>0</v>
      </c>
      <c r="AT85" s="1646">
        <f t="shared" si="147"/>
        <v>0.9693503693980019</v>
      </c>
      <c r="AU85" s="1646">
        <f t="shared" si="147"/>
        <v>0.88183262759554149</v>
      </c>
      <c r="AV85" s="1646">
        <f t="shared" si="147"/>
        <v>0</v>
      </c>
      <c r="AW85" s="1646">
        <f t="shared" si="147"/>
        <v>0</v>
      </c>
      <c r="AX85" s="1638">
        <f t="shared" ref="AX85:BE85" si="184">SUM(AX86:AX91)</f>
        <v>74109664.461224973</v>
      </c>
      <c r="AY85" s="1638">
        <f t="shared" si="184"/>
        <v>355845550.35000002</v>
      </c>
      <c r="AZ85" s="1638">
        <f t="shared" si="184"/>
        <v>0</v>
      </c>
      <c r="BA85" s="1638">
        <f t="shared" si="184"/>
        <v>0</v>
      </c>
      <c r="BB85" s="1638">
        <f t="shared" si="184"/>
        <v>0</v>
      </c>
      <c r="BC85" s="1638">
        <f t="shared" si="184"/>
        <v>0</v>
      </c>
      <c r="BD85" s="1638">
        <f t="shared" si="184"/>
        <v>0</v>
      </c>
      <c r="BE85" s="1638">
        <f t="shared" si="184"/>
        <v>0</v>
      </c>
      <c r="BF85" s="1641">
        <f t="shared" si="148"/>
        <v>0</v>
      </c>
      <c r="BG85" s="1641">
        <f t="shared" si="148"/>
        <v>0</v>
      </c>
      <c r="BH85" s="1641" t="e">
        <f t="shared" si="148"/>
        <v>#DIV/0!</v>
      </c>
      <c r="BI85" s="1641" t="e">
        <f t="shared" si="148"/>
        <v>#DIV/0!</v>
      </c>
      <c r="BJ85" s="1638">
        <f t="shared" si="7"/>
        <v>13687563121.422012</v>
      </c>
      <c r="BK85" s="1647">
        <f t="shared" si="8"/>
        <v>5566247289.1720123</v>
      </c>
      <c r="BL85" s="1648">
        <f t="shared" si="9"/>
        <v>0.40666459323650084</v>
      </c>
      <c r="BM85" s="1647">
        <f t="shared" si="10"/>
        <v>5136292074.3607864</v>
      </c>
      <c r="BN85" s="1649">
        <f t="shared" si="180"/>
        <v>0.37525248496002356</v>
      </c>
      <c r="BO85" s="1638"/>
      <c r="BP85" s="1650"/>
      <c r="BQ85" s="1651"/>
      <c r="BR85" s="1666"/>
    </row>
    <row r="86" spans="1:70" ht="51" customHeight="1" thickBot="1">
      <c r="A86" s="1622" t="s">
        <v>604</v>
      </c>
      <c r="B86" s="1623" t="s">
        <v>2388</v>
      </c>
      <c r="C86" s="1025" t="s">
        <v>2181</v>
      </c>
      <c r="D86" s="1624">
        <v>4</v>
      </c>
      <c r="E86" s="1625">
        <v>4</v>
      </c>
      <c r="F86" s="1625">
        <v>8</v>
      </c>
      <c r="G86" s="1626">
        <v>8</v>
      </c>
      <c r="H86" s="1627">
        <v>8</v>
      </c>
      <c r="I86" s="1030">
        <v>4</v>
      </c>
      <c r="J86" s="1030"/>
      <c r="K86" s="1030"/>
      <c r="L86" s="1030"/>
      <c r="M86" s="1031"/>
      <c r="N86" s="1031"/>
      <c r="O86" s="1031"/>
      <c r="P86" s="1667">
        <f t="shared" ref="P86:S91" si="185">IF((H86+L86)/D86&gt;=100%,100%,(H86+L86)/D86)</f>
        <v>1</v>
      </c>
      <c r="Q86" s="1032">
        <f t="shared" si="185"/>
        <v>1</v>
      </c>
      <c r="R86" s="1032">
        <f t="shared" si="185"/>
        <v>0</v>
      </c>
      <c r="S86" s="1032">
        <f t="shared" si="185"/>
        <v>0</v>
      </c>
      <c r="T86" s="1668" t="s">
        <v>2389</v>
      </c>
      <c r="U86" s="1034">
        <v>46022</v>
      </c>
      <c r="V86" s="1035">
        <f t="shared" ref="V86:V91" si="186">SUM(D86:G86)</f>
        <v>24</v>
      </c>
      <c r="W86" s="1035">
        <f t="shared" ref="W86:W91" si="187">SUM(H86:N86)</f>
        <v>12</v>
      </c>
      <c r="X86" s="1279">
        <f t="shared" ref="X86:X91" si="188">IF(W86/V86&gt;=100%,100%,W86/V86)</f>
        <v>0.5</v>
      </c>
      <c r="Y86" s="1037">
        <v>0.1</v>
      </c>
      <c r="Z86" s="1037">
        <v>0.1</v>
      </c>
      <c r="AA86" s="1037">
        <v>0.1</v>
      </c>
      <c r="AB86" s="1037">
        <v>0.1</v>
      </c>
      <c r="AC86" s="1037">
        <v>0.1</v>
      </c>
      <c r="AD86" s="1137">
        <v>197837500</v>
      </c>
      <c r="AE86" s="1137">
        <v>300000000</v>
      </c>
      <c r="AF86" s="1137">
        <v>366581250</v>
      </c>
      <c r="AG86" s="1137">
        <v>384910312.5</v>
      </c>
      <c r="AH86" s="1049">
        <v>197094948</v>
      </c>
      <c r="AI86" s="1137">
        <v>292800001</v>
      </c>
      <c r="AJ86" s="1137"/>
      <c r="AK86" s="1137"/>
      <c r="AL86" s="1039">
        <f t="shared" si="146"/>
        <v>0.99624665697858095</v>
      </c>
      <c r="AM86" s="1039">
        <f t="shared" si="146"/>
        <v>0.97600000333333337</v>
      </c>
      <c r="AN86" s="1039">
        <f t="shared" si="146"/>
        <v>0</v>
      </c>
      <c r="AO86" s="1039">
        <f t="shared" si="146"/>
        <v>0</v>
      </c>
      <c r="AP86" s="1138">
        <v>177653122</v>
      </c>
      <c r="AQ86" s="1139">
        <v>263713302.50999999</v>
      </c>
      <c r="AR86" s="1552"/>
      <c r="AS86" s="1042"/>
      <c r="AT86" s="1043">
        <f t="shared" si="147"/>
        <v>0.89797496430151003</v>
      </c>
      <c r="AU86" s="1043">
        <f t="shared" si="147"/>
        <v>0.87904434170000001</v>
      </c>
      <c r="AV86" s="1043">
        <f t="shared" si="147"/>
        <v>0</v>
      </c>
      <c r="AW86" s="1043">
        <f t="shared" si="147"/>
        <v>0</v>
      </c>
      <c r="AX86" s="1044">
        <f t="shared" ref="AX86:BA91" si="189">+AH86-AP86</f>
        <v>19441826</v>
      </c>
      <c r="AY86" s="1044">
        <f t="shared" si="189"/>
        <v>29086698.49000001</v>
      </c>
      <c r="AZ86" s="1044">
        <f t="shared" si="189"/>
        <v>0</v>
      </c>
      <c r="BA86" s="1044">
        <f t="shared" si="189"/>
        <v>0</v>
      </c>
      <c r="BB86" s="1049"/>
      <c r="BC86" s="1049"/>
      <c r="BD86" s="1049"/>
      <c r="BE86" s="1049"/>
      <c r="BF86" s="1045">
        <f t="shared" si="148"/>
        <v>0</v>
      </c>
      <c r="BG86" s="1045">
        <f t="shared" si="148"/>
        <v>0</v>
      </c>
      <c r="BH86" s="1045" t="e">
        <f t="shared" si="148"/>
        <v>#DIV/0!</v>
      </c>
      <c r="BI86" s="1045" t="e">
        <f t="shared" si="148"/>
        <v>#DIV/0!</v>
      </c>
      <c r="BJ86" s="1049">
        <f t="shared" si="7"/>
        <v>1249329062.5</v>
      </c>
      <c r="BK86" s="1141">
        <f t="shared" si="8"/>
        <v>489894949</v>
      </c>
      <c r="BL86" s="1142">
        <f t="shared" si="9"/>
        <v>0.39212643306294653</v>
      </c>
      <c r="BM86" s="1141">
        <f t="shared" si="10"/>
        <v>441366424.50999999</v>
      </c>
      <c r="BN86" s="1143">
        <f>+BM86/BJ86</f>
        <v>0.35328276413164766</v>
      </c>
      <c r="BO86" s="1049"/>
      <c r="BP86" s="1629" t="s">
        <v>2376</v>
      </c>
      <c r="BQ86" s="1410" t="s">
        <v>2377</v>
      </c>
      <c r="BR86" s="1348" t="s">
        <v>596</v>
      </c>
    </row>
    <row r="87" spans="1:70" ht="51" customHeight="1" thickBot="1">
      <c r="A87" s="1654" t="s">
        <v>605</v>
      </c>
      <c r="B87" s="1655" t="s">
        <v>2390</v>
      </c>
      <c r="C87" s="1055" t="s">
        <v>2181</v>
      </c>
      <c r="D87" s="1656">
        <v>1</v>
      </c>
      <c r="E87" s="1657">
        <v>1</v>
      </c>
      <c r="F87" s="1657">
        <v>1</v>
      </c>
      <c r="G87" s="1658">
        <v>1</v>
      </c>
      <c r="H87" s="1659">
        <v>1</v>
      </c>
      <c r="I87" s="1060">
        <v>1</v>
      </c>
      <c r="J87" s="1060"/>
      <c r="K87" s="1060"/>
      <c r="L87" s="1060"/>
      <c r="M87" s="1061"/>
      <c r="N87" s="1061"/>
      <c r="O87" s="1061"/>
      <c r="P87" s="1428">
        <f t="shared" si="185"/>
        <v>1</v>
      </c>
      <c r="Q87" s="1062">
        <f t="shared" si="185"/>
        <v>1</v>
      </c>
      <c r="R87" s="1062"/>
      <c r="S87" s="1062"/>
      <c r="T87" s="1669" t="s">
        <v>2391</v>
      </c>
      <c r="U87" s="1034">
        <v>46022</v>
      </c>
      <c r="V87" s="1035">
        <f t="shared" si="186"/>
        <v>4</v>
      </c>
      <c r="W87" s="1035">
        <f t="shared" si="187"/>
        <v>2</v>
      </c>
      <c r="X87" s="1279">
        <f t="shared" si="188"/>
        <v>0.5</v>
      </c>
      <c r="Y87" s="1065">
        <v>0.05</v>
      </c>
      <c r="Z87" s="1065">
        <v>0.05</v>
      </c>
      <c r="AA87" s="1065">
        <v>0.05</v>
      </c>
      <c r="AB87" s="1065">
        <v>0.05</v>
      </c>
      <c r="AC87" s="1065">
        <v>0.05</v>
      </c>
      <c r="AD87" s="1066">
        <v>127181250</v>
      </c>
      <c r="AE87" s="1066">
        <v>200000000</v>
      </c>
      <c r="AF87" s="1066">
        <v>235659375</v>
      </c>
      <c r="AG87" s="1066">
        <v>247442343.75</v>
      </c>
      <c r="AH87" s="1075">
        <v>127181250</v>
      </c>
      <c r="AI87" s="1066">
        <v>200000000</v>
      </c>
      <c r="AJ87" s="1066"/>
      <c r="AK87" s="1066"/>
      <c r="AL87" s="1173">
        <f t="shared" si="146"/>
        <v>1</v>
      </c>
      <c r="AM87" s="1173">
        <f t="shared" si="146"/>
        <v>1</v>
      </c>
      <c r="AN87" s="1173">
        <f t="shared" si="146"/>
        <v>0</v>
      </c>
      <c r="AO87" s="1173">
        <f t="shared" si="146"/>
        <v>0</v>
      </c>
      <c r="AP87" s="1087">
        <v>127181250</v>
      </c>
      <c r="AQ87" s="1139">
        <v>197660686.58000001</v>
      </c>
      <c r="AR87" s="1560"/>
      <c r="AS87" s="1069"/>
      <c r="AT87" s="1140">
        <f t="shared" si="147"/>
        <v>1</v>
      </c>
      <c r="AU87" s="1140">
        <f t="shared" si="147"/>
        <v>0.98830343290000011</v>
      </c>
      <c r="AV87" s="1140">
        <f t="shared" si="147"/>
        <v>0</v>
      </c>
      <c r="AW87" s="1140">
        <f t="shared" si="147"/>
        <v>0</v>
      </c>
      <c r="AX87" s="1044">
        <f t="shared" si="189"/>
        <v>0</v>
      </c>
      <c r="AY87" s="1044">
        <f t="shared" si="189"/>
        <v>2339313.4199999869</v>
      </c>
      <c r="AZ87" s="1044">
        <f t="shared" si="189"/>
        <v>0</v>
      </c>
      <c r="BA87" s="1044">
        <f t="shared" si="189"/>
        <v>0</v>
      </c>
      <c r="BB87" s="1075"/>
      <c r="BC87" s="1075"/>
      <c r="BD87" s="1075"/>
      <c r="BE87" s="1075"/>
      <c r="BF87" s="1071" t="e">
        <f t="shared" si="148"/>
        <v>#DIV/0!</v>
      </c>
      <c r="BG87" s="1071">
        <f t="shared" si="148"/>
        <v>0</v>
      </c>
      <c r="BH87" s="1071" t="e">
        <f t="shared" si="148"/>
        <v>#DIV/0!</v>
      </c>
      <c r="BI87" s="1071" t="e">
        <f t="shared" si="148"/>
        <v>#DIV/0!</v>
      </c>
      <c r="BJ87" s="1075">
        <f t="shared" si="7"/>
        <v>810282968.75</v>
      </c>
      <c r="BK87" s="1091">
        <f t="shared" si="8"/>
        <v>327181250</v>
      </c>
      <c r="BL87" s="1092">
        <f t="shared" si="9"/>
        <v>0.40378640872179877</v>
      </c>
      <c r="BM87" s="1091">
        <f t="shared" si="10"/>
        <v>324841936.58000004</v>
      </c>
      <c r="BN87" s="1093">
        <f t="shared" si="180"/>
        <v>0.40089937603048015</v>
      </c>
      <c r="BO87" s="1075"/>
      <c r="BP87" s="1660" t="s">
        <v>2376</v>
      </c>
      <c r="BQ87" s="1420" t="s">
        <v>2377</v>
      </c>
      <c r="BR87" s="1670" t="s">
        <v>596</v>
      </c>
    </row>
    <row r="88" spans="1:70" ht="51" customHeight="1" thickBot="1">
      <c r="A88" s="1671" t="s">
        <v>606</v>
      </c>
      <c r="B88" s="1672" t="s">
        <v>2392</v>
      </c>
      <c r="C88" s="1055" t="s">
        <v>2181</v>
      </c>
      <c r="D88" s="1673">
        <v>90</v>
      </c>
      <c r="E88" s="1657">
        <v>90</v>
      </c>
      <c r="F88" s="1657">
        <v>90</v>
      </c>
      <c r="G88" s="1674">
        <v>90</v>
      </c>
      <c r="H88" s="1659">
        <v>90</v>
      </c>
      <c r="I88" s="1060">
        <v>100</v>
      </c>
      <c r="J88" s="1060"/>
      <c r="K88" s="1060"/>
      <c r="L88" s="1060"/>
      <c r="M88" s="1061"/>
      <c r="N88" s="1061"/>
      <c r="O88" s="1061"/>
      <c r="P88" s="1428">
        <f t="shared" si="185"/>
        <v>1</v>
      </c>
      <c r="Q88" s="1062">
        <f t="shared" si="185"/>
        <v>1</v>
      </c>
      <c r="R88" s="1062"/>
      <c r="S88" s="1062"/>
      <c r="T88" s="1669" t="s">
        <v>2393</v>
      </c>
      <c r="U88" s="1034">
        <v>46022</v>
      </c>
      <c r="V88" s="1035">
        <f t="shared" si="186"/>
        <v>360</v>
      </c>
      <c r="W88" s="1035">
        <f t="shared" si="187"/>
        <v>190</v>
      </c>
      <c r="X88" s="1279">
        <f t="shared" si="188"/>
        <v>0.52777777777777779</v>
      </c>
      <c r="Y88" s="1065">
        <v>0.2</v>
      </c>
      <c r="Z88" s="1065">
        <v>0.2</v>
      </c>
      <c r="AA88" s="1065">
        <v>0.2</v>
      </c>
      <c r="AB88" s="1065">
        <v>0.2</v>
      </c>
      <c r="AC88" s="1065">
        <v>0.2</v>
      </c>
      <c r="AD88" s="1066">
        <f>395675000+(308371090.172012*0.25)</f>
        <v>472767772.54300296</v>
      </c>
      <c r="AE88" s="1066">
        <v>600000000</v>
      </c>
      <c r="AF88" s="1066">
        <v>733162500</v>
      </c>
      <c r="AG88" s="1066">
        <v>769820625</v>
      </c>
      <c r="AH88" s="1075">
        <f>395675000+(308371090.172012*0.25)</f>
        <v>472767772.54300296</v>
      </c>
      <c r="AI88" s="1066">
        <v>600000000</v>
      </c>
      <c r="AJ88" s="1066"/>
      <c r="AK88" s="1066"/>
      <c r="AL88" s="1173">
        <f t="shared" si="146"/>
        <v>1</v>
      </c>
      <c r="AM88" s="1173">
        <f t="shared" si="146"/>
        <v>1</v>
      </c>
      <c r="AN88" s="1173">
        <f t="shared" si="146"/>
        <v>0</v>
      </c>
      <c r="AO88" s="1173">
        <f t="shared" si="146"/>
        <v>0</v>
      </c>
      <c r="AP88" s="1087">
        <f>395675000+(253703251.710787*0.25)</f>
        <v>459100812.92769676</v>
      </c>
      <c r="AQ88" s="1675">
        <v>593991598.11000001</v>
      </c>
      <c r="AR88" s="1560"/>
      <c r="AS88" s="1069"/>
      <c r="AT88" s="1140">
        <f t="shared" si="147"/>
        <v>0.97109160055095967</v>
      </c>
      <c r="AU88" s="1140">
        <f t="shared" si="147"/>
        <v>0.98998599684999999</v>
      </c>
      <c r="AV88" s="1140">
        <f t="shared" si="147"/>
        <v>0</v>
      </c>
      <c r="AW88" s="1140">
        <f t="shared" si="147"/>
        <v>0</v>
      </c>
      <c r="AX88" s="1044">
        <f t="shared" si="189"/>
        <v>13666959.615306199</v>
      </c>
      <c r="AY88" s="1044">
        <f t="shared" si="189"/>
        <v>6008401.8899999857</v>
      </c>
      <c r="AZ88" s="1044">
        <f t="shared" si="189"/>
        <v>0</v>
      </c>
      <c r="BA88" s="1044">
        <f t="shared" si="189"/>
        <v>0</v>
      </c>
      <c r="BB88" s="1075"/>
      <c r="BC88" s="1075"/>
      <c r="BD88" s="1075"/>
      <c r="BE88" s="1075"/>
      <c r="BF88" s="1071">
        <f t="shared" si="148"/>
        <v>0</v>
      </c>
      <c r="BG88" s="1071">
        <f t="shared" si="148"/>
        <v>0</v>
      </c>
      <c r="BH88" s="1071" t="e">
        <f t="shared" si="148"/>
        <v>#DIV/0!</v>
      </c>
      <c r="BI88" s="1071" t="e">
        <f t="shared" si="148"/>
        <v>#DIV/0!</v>
      </c>
      <c r="BJ88" s="1075">
        <f t="shared" si="7"/>
        <v>2575750897.5430031</v>
      </c>
      <c r="BK88" s="1091">
        <f t="shared" si="8"/>
        <v>1072767772.543003</v>
      </c>
      <c r="BL88" s="1092">
        <f t="shared" si="9"/>
        <v>0.41648739152777203</v>
      </c>
      <c r="BM88" s="1091">
        <f t="shared" si="10"/>
        <v>1053092411.0376968</v>
      </c>
      <c r="BN88" s="1093">
        <f t="shared" si="180"/>
        <v>0.40884870196191597</v>
      </c>
      <c r="BO88" s="1049" t="s">
        <v>2375</v>
      </c>
      <c r="BP88" s="1660" t="s">
        <v>2376</v>
      </c>
      <c r="BQ88" s="1420" t="s">
        <v>2377</v>
      </c>
      <c r="BR88" s="1670" t="s">
        <v>596</v>
      </c>
    </row>
    <row r="89" spans="1:70" ht="51" customHeight="1" thickBot="1">
      <c r="A89" s="1422" t="s">
        <v>607</v>
      </c>
      <c r="B89" s="1427" t="s">
        <v>2394</v>
      </c>
      <c r="C89" s="1055" t="s">
        <v>2181</v>
      </c>
      <c r="D89" s="1673">
        <v>210</v>
      </c>
      <c r="E89" s="1657">
        <v>210</v>
      </c>
      <c r="F89" s="1657">
        <v>210</v>
      </c>
      <c r="G89" s="1674">
        <v>210</v>
      </c>
      <c r="H89" s="1659">
        <v>210</v>
      </c>
      <c r="I89" s="1060">
        <v>227</v>
      </c>
      <c r="J89" s="1060"/>
      <c r="K89" s="1060"/>
      <c r="L89" s="1060"/>
      <c r="M89" s="1061"/>
      <c r="N89" s="1061"/>
      <c r="O89" s="1061"/>
      <c r="P89" s="1428">
        <f t="shared" si="185"/>
        <v>1</v>
      </c>
      <c r="Q89" s="1062">
        <f t="shared" si="185"/>
        <v>1</v>
      </c>
      <c r="R89" s="1062"/>
      <c r="S89" s="1062"/>
      <c r="T89" s="1669" t="s">
        <v>2395</v>
      </c>
      <c r="U89" s="1034">
        <v>46022</v>
      </c>
      <c r="V89" s="1035">
        <f t="shared" si="186"/>
        <v>840</v>
      </c>
      <c r="W89" s="1035">
        <f t="shared" si="187"/>
        <v>437</v>
      </c>
      <c r="X89" s="1279">
        <f t="shared" si="188"/>
        <v>0.52023809523809528</v>
      </c>
      <c r="Y89" s="1065">
        <v>0.35</v>
      </c>
      <c r="Z89" s="1065">
        <v>0.35</v>
      </c>
      <c r="AA89" s="1065">
        <v>0.35</v>
      </c>
      <c r="AB89" s="1065">
        <v>0.35</v>
      </c>
      <c r="AC89" s="1065">
        <v>0.35</v>
      </c>
      <c r="AD89" s="1066">
        <f>794325000+(308371090.172012*0.75)</f>
        <v>1025603317.629009</v>
      </c>
      <c r="AE89" s="1066">
        <v>1150000000</v>
      </c>
      <c r="AF89" s="1066">
        <v>1461587500</v>
      </c>
      <c r="AG89" s="1066">
        <v>1534666875</v>
      </c>
      <c r="AH89" s="1075">
        <f>794325000+(308371090.172012*0.75)</f>
        <v>1025603317.629009</v>
      </c>
      <c r="AI89" s="1066">
        <v>1142000000</v>
      </c>
      <c r="AJ89" s="1066"/>
      <c r="AK89" s="1066"/>
      <c r="AL89" s="1173">
        <f t="shared" si="146"/>
        <v>1</v>
      </c>
      <c r="AM89" s="1173">
        <f t="shared" si="146"/>
        <v>0.99304347826086958</v>
      </c>
      <c r="AN89" s="1173">
        <f t="shared" si="146"/>
        <v>0</v>
      </c>
      <c r="AO89" s="1173">
        <f t="shared" si="146"/>
        <v>0</v>
      </c>
      <c r="AP89" s="1087">
        <f>794325000+(253703251.710787*0.75)</f>
        <v>984602438.78309023</v>
      </c>
      <c r="AQ89" s="1675">
        <v>1128980254.0899999</v>
      </c>
      <c r="AR89" s="1560"/>
      <c r="AS89" s="1069"/>
      <c r="AT89" s="1140">
        <f t="shared" si="147"/>
        <v>0.96002267334635316</v>
      </c>
      <c r="AU89" s="1140">
        <f t="shared" si="147"/>
        <v>0.98172196007826085</v>
      </c>
      <c r="AV89" s="1140">
        <f t="shared" si="147"/>
        <v>0</v>
      </c>
      <c r="AW89" s="1140">
        <f t="shared" si="147"/>
        <v>0</v>
      </c>
      <c r="AX89" s="1044">
        <f t="shared" si="189"/>
        <v>41000878.845918775</v>
      </c>
      <c r="AY89" s="1044">
        <f t="shared" si="189"/>
        <v>13019745.910000086</v>
      </c>
      <c r="AZ89" s="1044">
        <f t="shared" si="189"/>
        <v>0</v>
      </c>
      <c r="BA89" s="1044">
        <f t="shared" si="189"/>
        <v>0</v>
      </c>
      <c r="BB89" s="1075"/>
      <c r="BC89" s="1075"/>
      <c r="BD89" s="1075"/>
      <c r="BE89" s="1075"/>
      <c r="BF89" s="1071">
        <f t="shared" si="148"/>
        <v>0</v>
      </c>
      <c r="BG89" s="1071">
        <f t="shared" si="148"/>
        <v>0</v>
      </c>
      <c r="BH89" s="1071" t="e">
        <f t="shared" si="148"/>
        <v>#DIV/0!</v>
      </c>
      <c r="BI89" s="1071" t="e">
        <f t="shared" si="148"/>
        <v>#DIV/0!</v>
      </c>
      <c r="BJ89" s="1075">
        <f t="shared" si="7"/>
        <v>5171857692.6290092</v>
      </c>
      <c r="BK89" s="1091">
        <f t="shared" si="8"/>
        <v>2167603317.6290092</v>
      </c>
      <c r="BL89" s="1092">
        <f t="shared" si="9"/>
        <v>0.41911503495509983</v>
      </c>
      <c r="BM89" s="1091">
        <f t="shared" si="10"/>
        <v>2113582692.8730903</v>
      </c>
      <c r="BN89" s="1093">
        <f t="shared" si="180"/>
        <v>0.40866992451965423</v>
      </c>
      <c r="BO89" s="1049" t="s">
        <v>2375</v>
      </c>
      <c r="BP89" s="1660" t="s">
        <v>2376</v>
      </c>
      <c r="BQ89" s="1420" t="s">
        <v>2377</v>
      </c>
      <c r="BR89" s="1670" t="s">
        <v>596</v>
      </c>
    </row>
    <row r="90" spans="1:70" ht="51" customHeight="1" thickBot="1">
      <c r="A90" s="1422" t="s">
        <v>608</v>
      </c>
      <c r="B90" s="1513" t="s">
        <v>2396</v>
      </c>
      <c r="C90" s="1055" t="s">
        <v>2181</v>
      </c>
      <c r="D90" s="1676">
        <v>1</v>
      </c>
      <c r="E90" s="1677">
        <v>1</v>
      </c>
      <c r="F90" s="1677">
        <v>1</v>
      </c>
      <c r="G90" s="1678">
        <v>1</v>
      </c>
      <c r="H90" s="1659">
        <v>1</v>
      </c>
      <c r="I90" s="1060">
        <v>1</v>
      </c>
      <c r="J90" s="1060"/>
      <c r="K90" s="1060"/>
      <c r="L90" s="1060"/>
      <c r="M90" s="1061"/>
      <c r="N90" s="1061"/>
      <c r="O90" s="1061"/>
      <c r="P90" s="1428">
        <f t="shared" si="185"/>
        <v>1</v>
      </c>
      <c r="Q90" s="1062">
        <f t="shared" si="185"/>
        <v>1</v>
      </c>
      <c r="R90" s="1062"/>
      <c r="S90" s="1062"/>
      <c r="T90" s="1669" t="s">
        <v>2397</v>
      </c>
      <c r="U90" s="1034">
        <v>46022</v>
      </c>
      <c r="V90" s="1035">
        <f t="shared" si="186"/>
        <v>4</v>
      </c>
      <c r="W90" s="1035">
        <f t="shared" si="187"/>
        <v>2</v>
      </c>
      <c r="X90" s="1279">
        <f t="shared" si="188"/>
        <v>0.5</v>
      </c>
      <c r="Y90" s="1065">
        <v>0.15</v>
      </c>
      <c r="Z90" s="1065">
        <v>0.15</v>
      </c>
      <c r="AA90" s="1065">
        <v>0.15</v>
      </c>
      <c r="AB90" s="1065">
        <v>0.15</v>
      </c>
      <c r="AC90" s="1065">
        <v>0.15</v>
      </c>
      <c r="AD90" s="1066">
        <v>339150000</v>
      </c>
      <c r="AE90" s="1066">
        <v>480000000</v>
      </c>
      <c r="AF90" s="1066">
        <v>628425000</v>
      </c>
      <c r="AG90" s="1066">
        <v>659846250</v>
      </c>
      <c r="AH90" s="1075">
        <v>339150000</v>
      </c>
      <c r="AI90" s="1075">
        <v>480000000</v>
      </c>
      <c r="AJ90" s="1075"/>
      <c r="AK90" s="1075"/>
      <c r="AL90" s="1173">
        <f t="shared" si="146"/>
        <v>1</v>
      </c>
      <c r="AM90" s="1173">
        <f t="shared" si="146"/>
        <v>1</v>
      </c>
      <c r="AN90" s="1173">
        <f t="shared" si="146"/>
        <v>0</v>
      </c>
      <c r="AO90" s="1173">
        <f t="shared" si="146"/>
        <v>0</v>
      </c>
      <c r="AP90" s="1087">
        <v>339150000</v>
      </c>
      <c r="AQ90" s="1068">
        <v>473856874.67000002</v>
      </c>
      <c r="AR90" s="1560"/>
      <c r="AS90" s="1069"/>
      <c r="AT90" s="1140">
        <f t="shared" si="147"/>
        <v>1</v>
      </c>
      <c r="AU90" s="1140">
        <f t="shared" si="147"/>
        <v>0.98720182222916675</v>
      </c>
      <c r="AV90" s="1140">
        <f t="shared" si="147"/>
        <v>0</v>
      </c>
      <c r="AW90" s="1140">
        <f t="shared" si="147"/>
        <v>0</v>
      </c>
      <c r="AX90" s="1044">
        <f t="shared" si="189"/>
        <v>0</v>
      </c>
      <c r="AY90" s="1044">
        <f t="shared" si="189"/>
        <v>6143125.3299999833</v>
      </c>
      <c r="AZ90" s="1044">
        <f t="shared" si="189"/>
        <v>0</v>
      </c>
      <c r="BA90" s="1044">
        <f t="shared" si="189"/>
        <v>0</v>
      </c>
      <c r="BB90" s="1075"/>
      <c r="BC90" s="1075"/>
      <c r="BD90" s="1075"/>
      <c r="BE90" s="1075"/>
      <c r="BF90" s="1071" t="e">
        <f t="shared" si="148"/>
        <v>#DIV/0!</v>
      </c>
      <c r="BG90" s="1071">
        <f t="shared" si="148"/>
        <v>0</v>
      </c>
      <c r="BH90" s="1071" t="e">
        <f t="shared" si="148"/>
        <v>#DIV/0!</v>
      </c>
      <c r="BI90" s="1071" t="e">
        <f t="shared" si="148"/>
        <v>#DIV/0!</v>
      </c>
      <c r="BJ90" s="1075">
        <f t="shared" si="7"/>
        <v>2107421250</v>
      </c>
      <c r="BK90" s="1091">
        <f t="shared" si="8"/>
        <v>819150000</v>
      </c>
      <c r="BL90" s="1092">
        <f t="shared" si="9"/>
        <v>0.38869779831630719</v>
      </c>
      <c r="BM90" s="1091">
        <f t="shared" si="10"/>
        <v>813006874.67000008</v>
      </c>
      <c r="BN90" s="1093">
        <f t="shared" si="180"/>
        <v>0.385782801929135</v>
      </c>
      <c r="BO90" s="1075"/>
      <c r="BP90" s="1660" t="s">
        <v>2376</v>
      </c>
      <c r="BQ90" s="1679" t="s">
        <v>2193</v>
      </c>
      <c r="BR90" s="1670" t="s">
        <v>596</v>
      </c>
    </row>
    <row r="91" spans="1:70" ht="51" customHeight="1" thickBot="1">
      <c r="A91" s="1680" t="s">
        <v>609</v>
      </c>
      <c r="B91" s="1681" t="s">
        <v>2398</v>
      </c>
      <c r="C91" s="1152" t="s">
        <v>2181</v>
      </c>
      <c r="D91" s="1682">
        <v>1</v>
      </c>
      <c r="E91" s="1683">
        <v>1</v>
      </c>
      <c r="F91" s="1683">
        <v>1</v>
      </c>
      <c r="G91" s="1684">
        <v>1</v>
      </c>
      <c r="H91" s="1634">
        <v>1</v>
      </c>
      <c r="I91" s="1182">
        <v>2</v>
      </c>
      <c r="J91" s="1182"/>
      <c r="K91" s="1182"/>
      <c r="L91" s="1182"/>
      <c r="M91" s="1101"/>
      <c r="N91" s="1101"/>
      <c r="O91" s="1101"/>
      <c r="P91" s="1685">
        <f t="shared" si="185"/>
        <v>1</v>
      </c>
      <c r="Q91" s="1102">
        <f t="shared" si="185"/>
        <v>1</v>
      </c>
      <c r="R91" s="1102"/>
      <c r="S91" s="1102"/>
      <c r="T91" s="1686" t="s">
        <v>2399</v>
      </c>
      <c r="U91" s="1034">
        <v>46022</v>
      </c>
      <c r="V91" s="1035">
        <f t="shared" si="186"/>
        <v>4</v>
      </c>
      <c r="W91" s="1035">
        <f t="shared" si="187"/>
        <v>3</v>
      </c>
      <c r="X91" s="1279">
        <f t="shared" si="188"/>
        <v>0.75</v>
      </c>
      <c r="Y91" s="1104">
        <v>0.15</v>
      </c>
      <c r="Z91" s="1104">
        <v>0.15</v>
      </c>
      <c r="AA91" s="1104">
        <v>0.15</v>
      </c>
      <c r="AB91" s="1104">
        <v>0.15</v>
      </c>
      <c r="AC91" s="1104">
        <v>0.15</v>
      </c>
      <c r="AD91" s="1106">
        <v>279650000</v>
      </c>
      <c r="AE91" s="1106">
        <v>410000000</v>
      </c>
      <c r="AF91" s="1106">
        <v>528425000</v>
      </c>
      <c r="AG91" s="1106">
        <v>554846250</v>
      </c>
      <c r="AH91" s="1113">
        <v>279650000</v>
      </c>
      <c r="AI91" s="1106">
        <v>410000000</v>
      </c>
      <c r="AJ91" s="1106"/>
      <c r="AK91" s="1106"/>
      <c r="AL91" s="1295">
        <f t="shared" si="146"/>
        <v>1</v>
      </c>
      <c r="AM91" s="1295">
        <f t="shared" si="146"/>
        <v>1</v>
      </c>
      <c r="AN91" s="1295">
        <f t="shared" si="146"/>
        <v>0</v>
      </c>
      <c r="AO91" s="1295">
        <f t="shared" si="146"/>
        <v>0</v>
      </c>
      <c r="AP91" s="1109">
        <v>279650000</v>
      </c>
      <c r="AQ91" s="1108">
        <v>110751734.69</v>
      </c>
      <c r="AR91" s="1567"/>
      <c r="AS91" s="1188"/>
      <c r="AT91" s="1189">
        <f t="shared" si="147"/>
        <v>1</v>
      </c>
      <c r="AU91" s="1189">
        <f t="shared" si="147"/>
        <v>0.2701261821707317</v>
      </c>
      <c r="AV91" s="1189">
        <f t="shared" si="147"/>
        <v>0</v>
      </c>
      <c r="AW91" s="1189">
        <f t="shared" si="147"/>
        <v>0</v>
      </c>
      <c r="AX91" s="1044">
        <f t="shared" si="189"/>
        <v>0</v>
      </c>
      <c r="AY91" s="1044">
        <f t="shared" si="189"/>
        <v>299248265.31</v>
      </c>
      <c r="AZ91" s="1044">
        <f t="shared" si="189"/>
        <v>0</v>
      </c>
      <c r="BA91" s="1044">
        <f t="shared" si="189"/>
        <v>0</v>
      </c>
      <c r="BB91" s="1113"/>
      <c r="BC91" s="1113"/>
      <c r="BD91" s="1113"/>
      <c r="BE91" s="1113"/>
      <c r="BF91" s="1190" t="e">
        <f t="shared" si="148"/>
        <v>#DIV/0!</v>
      </c>
      <c r="BG91" s="1190">
        <f t="shared" si="148"/>
        <v>0</v>
      </c>
      <c r="BH91" s="1190" t="e">
        <f t="shared" si="148"/>
        <v>#DIV/0!</v>
      </c>
      <c r="BI91" s="1190" t="e">
        <f t="shared" si="148"/>
        <v>#DIV/0!</v>
      </c>
      <c r="BJ91" s="1113">
        <f t="shared" si="7"/>
        <v>1772921250</v>
      </c>
      <c r="BK91" s="1484">
        <f t="shared" si="8"/>
        <v>689650000</v>
      </c>
      <c r="BL91" s="1485">
        <f t="shared" si="9"/>
        <v>0.38899076876652022</v>
      </c>
      <c r="BM91" s="1484">
        <f t="shared" si="10"/>
        <v>390401734.69</v>
      </c>
      <c r="BN91" s="1486">
        <f t="shared" si="180"/>
        <v>0.22020252433095944</v>
      </c>
      <c r="BO91" s="1113"/>
      <c r="BP91" s="1435" t="s">
        <v>2376</v>
      </c>
      <c r="BQ91" s="1687" t="s">
        <v>2193</v>
      </c>
      <c r="BR91" s="1636" t="s">
        <v>596</v>
      </c>
    </row>
    <row r="92" spans="1:70" ht="51" customHeight="1" thickBot="1">
      <c r="A92" s="1637" t="s">
        <v>2400</v>
      </c>
      <c r="B92" s="1637"/>
      <c r="C92" s="1638"/>
      <c r="D92" s="1638"/>
      <c r="E92" s="1639"/>
      <c r="F92" s="1639"/>
      <c r="G92" s="1639"/>
      <c r="H92" s="1639"/>
      <c r="I92" s="1639"/>
      <c r="J92" s="1639"/>
      <c r="K92" s="1639"/>
      <c r="L92" s="1639"/>
      <c r="M92" s="1639"/>
      <c r="N92" s="1639"/>
      <c r="O92" s="1639"/>
      <c r="P92" s="1640">
        <f>+SUMPRODUCT(P93:P93,Z93:Z93)</f>
        <v>1</v>
      </c>
      <c r="Q92" s="1641">
        <f>+SUMPRODUCT(Q93:Q93,AA93:AA93)</f>
        <v>1</v>
      </c>
      <c r="R92" s="1642">
        <f>+SUMPRODUCT(R93:R93,AB93:AB93)</f>
        <v>0</v>
      </c>
      <c r="S92" s="1642">
        <f>+SUMPRODUCT(S93:S93,AC93:AC93)</f>
        <v>0</v>
      </c>
      <c r="T92" s="1643"/>
      <c r="U92" s="1637"/>
      <c r="V92" s="1644"/>
      <c r="W92" s="1645"/>
      <c r="X92" s="1640">
        <f>+SUMPRODUCT(X93:X93,Y93:Y93)</f>
        <v>0.5</v>
      </c>
      <c r="Y92" s="1641">
        <v>0.05</v>
      </c>
      <c r="Z92" s="1641">
        <v>0.05</v>
      </c>
      <c r="AA92" s="1641">
        <v>0.05</v>
      </c>
      <c r="AB92" s="1641">
        <v>0.05</v>
      </c>
      <c r="AC92" s="1641">
        <v>0.05</v>
      </c>
      <c r="AD92" s="1638">
        <f>SUM(AD93:AD93)</f>
        <v>226428197.1020408</v>
      </c>
      <c r="AE92" s="1638">
        <f>SUM(AE93:AE93)</f>
        <v>290000000</v>
      </c>
      <c r="AF92" s="1638">
        <f t="shared" ref="AF92:AG92" si="190">SUM(AF93:AF93)</f>
        <v>366581250</v>
      </c>
      <c r="AG92" s="1638">
        <f t="shared" si="190"/>
        <v>384910312.5</v>
      </c>
      <c r="AH92" s="1638">
        <f>SUM(AH93:AH93)</f>
        <v>226378700.1020408</v>
      </c>
      <c r="AI92" s="1638">
        <f t="shared" ref="AI92:AK92" si="191">SUM(AI93:AI93)</f>
        <v>290000000</v>
      </c>
      <c r="AJ92" s="1638">
        <f t="shared" si="191"/>
        <v>0</v>
      </c>
      <c r="AK92" s="1638">
        <f t="shared" si="191"/>
        <v>0</v>
      </c>
      <c r="AL92" s="1646">
        <f t="shared" si="146"/>
        <v>0.99978140090044665</v>
      </c>
      <c r="AM92" s="1646">
        <f t="shared" si="146"/>
        <v>1</v>
      </c>
      <c r="AN92" s="1646">
        <f t="shared" si="146"/>
        <v>0</v>
      </c>
      <c r="AO92" s="1646">
        <f t="shared" si="146"/>
        <v>0</v>
      </c>
      <c r="AP92" s="1638">
        <f t="shared" ref="AP92:AS92" si="192">SUM(AP93:AP93)</f>
        <v>221169767.7877551</v>
      </c>
      <c r="AQ92" s="1638">
        <f t="shared" si="192"/>
        <v>285771225.33999997</v>
      </c>
      <c r="AR92" s="1638">
        <f t="shared" si="192"/>
        <v>0</v>
      </c>
      <c r="AS92" s="1638">
        <f t="shared" si="192"/>
        <v>0</v>
      </c>
      <c r="AT92" s="1646">
        <f t="shared" si="147"/>
        <v>0.97677661447829323</v>
      </c>
      <c r="AU92" s="1646">
        <f t="shared" si="147"/>
        <v>0.98541801841379306</v>
      </c>
      <c r="AV92" s="1646">
        <f t="shared" si="147"/>
        <v>0</v>
      </c>
      <c r="AW92" s="1646">
        <f t="shared" si="147"/>
        <v>0</v>
      </c>
      <c r="AX92" s="1638">
        <f t="shared" ref="AX92:BE92" si="193">SUM(AX93:AX93)</f>
        <v>5208932.3142856956</v>
      </c>
      <c r="AY92" s="1638">
        <f t="shared" si="193"/>
        <v>4228774.6600000262</v>
      </c>
      <c r="AZ92" s="1638">
        <f t="shared" si="193"/>
        <v>0</v>
      </c>
      <c r="BA92" s="1638">
        <f t="shared" si="193"/>
        <v>0</v>
      </c>
      <c r="BB92" s="1638">
        <f t="shared" si="193"/>
        <v>0</v>
      </c>
      <c r="BC92" s="1638">
        <f t="shared" si="193"/>
        <v>0</v>
      </c>
      <c r="BD92" s="1638">
        <f t="shared" si="193"/>
        <v>0</v>
      </c>
      <c r="BE92" s="1638">
        <f t="shared" si="193"/>
        <v>0</v>
      </c>
      <c r="BF92" s="1641">
        <f t="shared" si="148"/>
        <v>0</v>
      </c>
      <c r="BG92" s="1641">
        <f t="shared" si="148"/>
        <v>0</v>
      </c>
      <c r="BH92" s="1641" t="e">
        <f t="shared" si="148"/>
        <v>#DIV/0!</v>
      </c>
      <c r="BI92" s="1641" t="e">
        <f t="shared" si="148"/>
        <v>#DIV/0!</v>
      </c>
      <c r="BJ92" s="1638">
        <f t="shared" si="7"/>
        <v>1267919759.6020408</v>
      </c>
      <c r="BK92" s="1647">
        <f t="shared" si="8"/>
        <v>516378700.10204077</v>
      </c>
      <c r="BL92" s="1648">
        <f t="shared" ref="BL92:BL155" si="194">+BK92/BJ92</f>
        <v>0.4072644946113273</v>
      </c>
      <c r="BM92" s="1647">
        <f t="shared" ref="BM92:BM155" si="195">+AP92+AQ92+AR92+AS92</f>
        <v>506940993.12775505</v>
      </c>
      <c r="BN92" s="1649">
        <f t="shared" si="180"/>
        <v>0.39982103700857813</v>
      </c>
      <c r="BO92" s="1638"/>
      <c r="BP92" s="1650"/>
      <c r="BQ92" s="1651"/>
      <c r="BR92" s="1666"/>
    </row>
    <row r="93" spans="1:70" ht="51" customHeight="1" thickBot="1">
      <c r="A93" s="1688" t="s">
        <v>610</v>
      </c>
      <c r="B93" s="1689" t="s">
        <v>2401</v>
      </c>
      <c r="C93" s="1454" t="s">
        <v>2181</v>
      </c>
      <c r="D93" s="1690">
        <v>1</v>
      </c>
      <c r="E93" s="1691">
        <v>1</v>
      </c>
      <c r="F93" s="1691">
        <v>1</v>
      </c>
      <c r="G93" s="1692">
        <v>1</v>
      </c>
      <c r="H93" s="1693">
        <v>1</v>
      </c>
      <c r="I93" s="1236">
        <v>1</v>
      </c>
      <c r="J93" s="1236"/>
      <c r="K93" s="1236"/>
      <c r="L93" s="1236"/>
      <c r="M93" s="1237"/>
      <c r="N93" s="1237"/>
      <c r="O93" s="1237"/>
      <c r="P93" s="1238">
        <f t="shared" ref="P93:S93" si="196">IF((H93+L93)/D93&gt;=100%,100%,(H93+L93)/D93)</f>
        <v>1</v>
      </c>
      <c r="Q93" s="1238">
        <f t="shared" si="196"/>
        <v>1</v>
      </c>
      <c r="R93" s="1238">
        <f t="shared" si="196"/>
        <v>0</v>
      </c>
      <c r="S93" s="1238">
        <f t="shared" si="196"/>
        <v>0</v>
      </c>
      <c r="T93" s="1694" t="s">
        <v>2402</v>
      </c>
      <c r="U93" s="1034">
        <v>46022</v>
      </c>
      <c r="V93" s="1035">
        <f>SUM(D93:G93)</f>
        <v>4</v>
      </c>
      <c r="W93" s="1035">
        <f>SUM(H93:N93)</f>
        <v>2</v>
      </c>
      <c r="X93" s="1279">
        <f t="shared" ref="X93" si="197">IF(W93/V93&gt;=100%,100%,W93/V93)</f>
        <v>0.5</v>
      </c>
      <c r="Y93" s="1241">
        <v>1</v>
      </c>
      <c r="Z93" s="1241">
        <v>1</v>
      </c>
      <c r="AA93" s="1241">
        <v>1</v>
      </c>
      <c r="AB93" s="1241">
        <v>1</v>
      </c>
      <c r="AC93" s="1241">
        <v>1</v>
      </c>
      <c r="AD93" s="1244">
        <f>197837500+28590697.1020408</f>
        <v>226428197.1020408</v>
      </c>
      <c r="AE93" s="1244">
        <v>290000000</v>
      </c>
      <c r="AF93" s="1244">
        <v>366581250</v>
      </c>
      <c r="AG93" s="1244">
        <v>384910312.5</v>
      </c>
      <c r="AH93" s="1460">
        <f>197788003+28590697.1020408</f>
        <v>226378700.1020408</v>
      </c>
      <c r="AI93" s="1244">
        <v>290000000</v>
      </c>
      <c r="AJ93" s="1244"/>
      <c r="AK93" s="1244"/>
      <c r="AL93" s="1245">
        <f t="shared" si="146"/>
        <v>0.99978140090044665</v>
      </c>
      <c r="AM93" s="1245">
        <f t="shared" si="146"/>
        <v>1</v>
      </c>
      <c r="AN93" s="1245">
        <f t="shared" si="146"/>
        <v>0</v>
      </c>
      <c r="AO93" s="1245">
        <f t="shared" si="146"/>
        <v>0</v>
      </c>
      <c r="AP93" s="1246">
        <f>197647612+23522155.7877551</f>
        <v>221169767.7877551</v>
      </c>
      <c r="AQ93" s="1695">
        <v>285771225.33999997</v>
      </c>
      <c r="AR93" s="1568"/>
      <c r="AS93" s="1248"/>
      <c r="AT93" s="1249">
        <f t="shared" si="147"/>
        <v>0.97677661447829323</v>
      </c>
      <c r="AU93" s="1249">
        <f t="shared" si="147"/>
        <v>0.98541801841379306</v>
      </c>
      <c r="AV93" s="1249">
        <f t="shared" si="147"/>
        <v>0</v>
      </c>
      <c r="AW93" s="1249">
        <f t="shared" si="147"/>
        <v>0</v>
      </c>
      <c r="AX93" s="1044">
        <f t="shared" ref="AX93:BA93" si="198">+AH93-AP93</f>
        <v>5208932.3142856956</v>
      </c>
      <c r="AY93" s="1044">
        <f t="shared" si="198"/>
        <v>4228774.6600000262</v>
      </c>
      <c r="AZ93" s="1044">
        <f t="shared" si="198"/>
        <v>0</v>
      </c>
      <c r="BA93" s="1044">
        <f t="shared" si="198"/>
        <v>0</v>
      </c>
      <c r="BB93" s="1460"/>
      <c r="BC93" s="1460"/>
      <c r="BD93" s="1460"/>
      <c r="BE93" s="1460"/>
      <c r="BF93" s="1251">
        <f t="shared" si="148"/>
        <v>0</v>
      </c>
      <c r="BG93" s="1251">
        <f t="shared" si="148"/>
        <v>0</v>
      </c>
      <c r="BH93" s="1251" t="e">
        <f t="shared" si="148"/>
        <v>#DIV/0!</v>
      </c>
      <c r="BI93" s="1251" t="e">
        <f t="shared" si="148"/>
        <v>#DIV/0!</v>
      </c>
      <c r="BJ93" s="1460">
        <f t="shared" ref="BJ93:BJ156" si="199">+AD93+AE93+AF93+AG93</f>
        <v>1267919759.6020408</v>
      </c>
      <c r="BK93" s="1539">
        <f t="shared" ref="BK93:BK156" si="200">+AH93+AI93+AJ93+AK93</f>
        <v>516378700.10204077</v>
      </c>
      <c r="BL93" s="1540">
        <f t="shared" si="194"/>
        <v>0.4072644946113273</v>
      </c>
      <c r="BM93" s="1539">
        <f t="shared" si="195"/>
        <v>506940993.12775505</v>
      </c>
      <c r="BN93" s="1541">
        <f t="shared" si="180"/>
        <v>0.39982103700857813</v>
      </c>
      <c r="BO93" s="1049" t="s">
        <v>2375</v>
      </c>
      <c r="BP93" s="1569" t="s">
        <v>2376</v>
      </c>
      <c r="BQ93" s="1696" t="s">
        <v>2377</v>
      </c>
      <c r="BR93" s="1697" t="s">
        <v>596</v>
      </c>
    </row>
    <row r="94" spans="1:70" ht="51" customHeight="1" thickBot="1">
      <c r="A94" s="1637" t="s">
        <v>2403</v>
      </c>
      <c r="B94" s="1637"/>
      <c r="C94" s="1638"/>
      <c r="D94" s="1638"/>
      <c r="E94" s="1639"/>
      <c r="F94" s="1639"/>
      <c r="G94" s="1639"/>
      <c r="H94" s="1639"/>
      <c r="I94" s="1639"/>
      <c r="J94" s="1639"/>
      <c r="K94" s="1639"/>
      <c r="L94" s="1639"/>
      <c r="M94" s="1639"/>
      <c r="N94" s="1639"/>
      <c r="O94" s="1639"/>
      <c r="P94" s="1640">
        <f>+SUMPRODUCT(P95:P95,Z95:Z95)</f>
        <v>1</v>
      </c>
      <c r="Q94" s="1641">
        <f>+SUMPRODUCT(Q95:Q95,AA95:AA95)</f>
        <v>1</v>
      </c>
      <c r="R94" s="1642">
        <f>+SUMPRODUCT(R95:R95,AB95:AB95)</f>
        <v>0</v>
      </c>
      <c r="S94" s="1642">
        <f>+SUMPRODUCT(S95:S95,AC95:AC95)</f>
        <v>0</v>
      </c>
      <c r="T94" s="1643"/>
      <c r="U94" s="1637"/>
      <c r="V94" s="1644"/>
      <c r="W94" s="1645"/>
      <c r="X94" s="1640">
        <f>+SUMPRODUCT(X95:X95,Y95:Y95)</f>
        <v>0.5</v>
      </c>
      <c r="Y94" s="1641">
        <v>0.03</v>
      </c>
      <c r="Z94" s="1641">
        <v>0.03</v>
      </c>
      <c r="AA94" s="1641">
        <v>0.03</v>
      </c>
      <c r="AB94" s="1641">
        <v>0.03</v>
      </c>
      <c r="AC94" s="1641">
        <v>0.03</v>
      </c>
      <c r="AD94" s="1638">
        <f>SUM(AD95:AD95)</f>
        <v>113214098.5510204</v>
      </c>
      <c r="AE94" s="1638">
        <f>SUM(AE95:AE95)</f>
        <v>140000000</v>
      </c>
      <c r="AF94" s="1638">
        <f t="shared" ref="AF94:AG94" si="201">SUM(AF95:AF95)</f>
        <v>183290625</v>
      </c>
      <c r="AG94" s="1638">
        <f t="shared" si="201"/>
        <v>192455156.25</v>
      </c>
      <c r="AH94" s="1638">
        <f>SUM(AH95:AH95)</f>
        <v>113164601.5510204</v>
      </c>
      <c r="AI94" s="1638">
        <f t="shared" ref="AI94:AK94" si="202">SUM(AI95:AI95)</f>
        <v>140000000</v>
      </c>
      <c r="AJ94" s="1638">
        <f t="shared" si="202"/>
        <v>0</v>
      </c>
      <c r="AK94" s="1638">
        <f t="shared" si="202"/>
        <v>0</v>
      </c>
      <c r="AL94" s="1646">
        <f t="shared" si="146"/>
        <v>0.9995628018008933</v>
      </c>
      <c r="AM94" s="1646">
        <f t="shared" si="146"/>
        <v>1</v>
      </c>
      <c r="AN94" s="1646">
        <f t="shared" si="146"/>
        <v>0</v>
      </c>
      <c r="AO94" s="1646">
        <f t="shared" si="146"/>
        <v>0</v>
      </c>
      <c r="AP94" s="1638">
        <f t="shared" ref="AP94:AS94" si="203">SUM(AP95:AP95)</f>
        <v>110489939.89387751</v>
      </c>
      <c r="AQ94" s="1638">
        <f t="shared" si="203"/>
        <v>137572857</v>
      </c>
      <c r="AR94" s="1638">
        <f t="shared" si="203"/>
        <v>0</v>
      </c>
      <c r="AS94" s="1638">
        <f t="shared" si="203"/>
        <v>0</v>
      </c>
      <c r="AT94" s="1646">
        <f t="shared" si="147"/>
        <v>0.97593799100988077</v>
      </c>
      <c r="AU94" s="1646">
        <f t="shared" si="147"/>
        <v>0.98266326428571427</v>
      </c>
      <c r="AV94" s="1646">
        <f t="shared" si="147"/>
        <v>0</v>
      </c>
      <c r="AW94" s="1646">
        <f t="shared" si="147"/>
        <v>0</v>
      </c>
      <c r="AX94" s="1638">
        <f t="shared" ref="AX94:BE94" si="204">SUM(AX95:AX95)</f>
        <v>2674661.6571428925</v>
      </c>
      <c r="AY94" s="1638">
        <f t="shared" si="204"/>
        <v>2427143</v>
      </c>
      <c r="AZ94" s="1638">
        <f t="shared" si="204"/>
        <v>0</v>
      </c>
      <c r="BA94" s="1638">
        <f t="shared" si="204"/>
        <v>0</v>
      </c>
      <c r="BB94" s="1638">
        <f t="shared" si="204"/>
        <v>0</v>
      </c>
      <c r="BC94" s="1638">
        <f t="shared" si="204"/>
        <v>0</v>
      </c>
      <c r="BD94" s="1638">
        <f t="shared" si="204"/>
        <v>0</v>
      </c>
      <c r="BE94" s="1638">
        <f t="shared" si="204"/>
        <v>0</v>
      </c>
      <c r="BF94" s="1641">
        <f t="shared" si="148"/>
        <v>0</v>
      </c>
      <c r="BG94" s="1641">
        <f t="shared" si="148"/>
        <v>0</v>
      </c>
      <c r="BH94" s="1641" t="e">
        <f t="shared" si="148"/>
        <v>#DIV/0!</v>
      </c>
      <c r="BI94" s="1641" t="e">
        <f t="shared" si="148"/>
        <v>#DIV/0!</v>
      </c>
      <c r="BJ94" s="1638">
        <f t="shared" si="199"/>
        <v>628959879.80102038</v>
      </c>
      <c r="BK94" s="1647">
        <f t="shared" si="200"/>
        <v>253164601.55102038</v>
      </c>
      <c r="BL94" s="1648">
        <f t="shared" si="194"/>
        <v>0.40251311678435242</v>
      </c>
      <c r="BM94" s="1647">
        <f t="shared" si="195"/>
        <v>248062796.89387751</v>
      </c>
      <c r="BN94" s="1649">
        <f t="shared" si="180"/>
        <v>0.39440162220260438</v>
      </c>
      <c r="BO94" s="1638"/>
      <c r="BP94" s="1698"/>
      <c r="BQ94" s="1651"/>
      <c r="BR94" s="1666"/>
    </row>
    <row r="95" spans="1:70" ht="51" customHeight="1" thickBot="1">
      <c r="A95" s="1699" t="s">
        <v>611</v>
      </c>
      <c r="B95" s="1689" t="s">
        <v>2404</v>
      </c>
      <c r="C95" s="1454" t="s">
        <v>2181</v>
      </c>
      <c r="D95" s="1690">
        <v>1</v>
      </c>
      <c r="E95" s="1691">
        <v>1</v>
      </c>
      <c r="F95" s="1691">
        <v>1</v>
      </c>
      <c r="G95" s="1692">
        <v>1</v>
      </c>
      <c r="H95" s="1693">
        <v>1</v>
      </c>
      <c r="I95" s="1236">
        <v>1</v>
      </c>
      <c r="J95" s="1236"/>
      <c r="K95" s="1236"/>
      <c r="L95" s="1236"/>
      <c r="M95" s="1237"/>
      <c r="N95" s="1237"/>
      <c r="O95" s="1237"/>
      <c r="P95" s="1238">
        <f t="shared" ref="P95:S95" si="205">IF((H95+L95)/D95&gt;=100%,100%,(H95+L95)/D95)</f>
        <v>1</v>
      </c>
      <c r="Q95" s="1238">
        <f t="shared" si="205"/>
        <v>1</v>
      </c>
      <c r="R95" s="1238">
        <f t="shared" si="205"/>
        <v>0</v>
      </c>
      <c r="S95" s="1238">
        <f t="shared" si="205"/>
        <v>0</v>
      </c>
      <c r="T95" s="1694" t="s">
        <v>2405</v>
      </c>
      <c r="U95" s="1034">
        <v>46022</v>
      </c>
      <c r="V95" s="1035">
        <f>SUM(D95:G95)</f>
        <v>4</v>
      </c>
      <c r="W95" s="1035">
        <f>SUM(H95:N95)</f>
        <v>2</v>
      </c>
      <c r="X95" s="1279">
        <f t="shared" ref="X95" si="206">IF(W95/V95&gt;=100%,100%,W95/V95)</f>
        <v>0.5</v>
      </c>
      <c r="Y95" s="1241">
        <v>1</v>
      </c>
      <c r="Z95" s="1241">
        <v>1</v>
      </c>
      <c r="AA95" s="1241">
        <v>1</v>
      </c>
      <c r="AB95" s="1241">
        <v>1</v>
      </c>
      <c r="AC95" s="1241">
        <v>1</v>
      </c>
      <c r="AD95" s="1244">
        <f>98918750+14295348.5510204</f>
        <v>113214098.5510204</v>
      </c>
      <c r="AE95" s="1244">
        <v>140000000</v>
      </c>
      <c r="AF95" s="1244">
        <v>183290625</v>
      </c>
      <c r="AG95" s="1244">
        <v>192455156.25</v>
      </c>
      <c r="AH95" s="1460">
        <f>98869253+14295348.5510204</f>
        <v>113164601.5510204</v>
      </c>
      <c r="AI95" s="1244">
        <v>140000000</v>
      </c>
      <c r="AJ95" s="1244"/>
      <c r="AK95" s="1244"/>
      <c r="AL95" s="1245">
        <f t="shared" si="146"/>
        <v>0.9995628018008933</v>
      </c>
      <c r="AM95" s="1245">
        <f t="shared" si="146"/>
        <v>1</v>
      </c>
      <c r="AN95" s="1245">
        <f t="shared" si="146"/>
        <v>0</v>
      </c>
      <c r="AO95" s="1245">
        <f t="shared" si="146"/>
        <v>0</v>
      </c>
      <c r="AP95" s="1246">
        <f>98728862+11761077.8938775</f>
        <v>110489939.89387751</v>
      </c>
      <c r="AQ95" s="1695">
        <v>137572857</v>
      </c>
      <c r="AR95" s="1568"/>
      <c r="AS95" s="1248"/>
      <c r="AT95" s="1249">
        <f t="shared" si="147"/>
        <v>0.97593799100988077</v>
      </c>
      <c r="AU95" s="1249">
        <f t="shared" si="147"/>
        <v>0.98266326428571427</v>
      </c>
      <c r="AV95" s="1249">
        <f t="shared" si="147"/>
        <v>0</v>
      </c>
      <c r="AW95" s="1249">
        <f t="shared" si="147"/>
        <v>0</v>
      </c>
      <c r="AX95" s="1044">
        <f t="shared" ref="AX95:BA95" si="207">+AH95-AP95</f>
        <v>2674661.6571428925</v>
      </c>
      <c r="AY95" s="1044">
        <f t="shared" si="207"/>
        <v>2427143</v>
      </c>
      <c r="AZ95" s="1044">
        <f t="shared" si="207"/>
        <v>0</v>
      </c>
      <c r="BA95" s="1044">
        <f t="shared" si="207"/>
        <v>0</v>
      </c>
      <c r="BB95" s="1460"/>
      <c r="BC95" s="1460"/>
      <c r="BD95" s="1460"/>
      <c r="BE95" s="1460"/>
      <c r="BF95" s="1251">
        <f t="shared" si="148"/>
        <v>0</v>
      </c>
      <c r="BG95" s="1251">
        <f t="shared" si="148"/>
        <v>0</v>
      </c>
      <c r="BH95" s="1251" t="e">
        <f t="shared" si="148"/>
        <v>#DIV/0!</v>
      </c>
      <c r="BI95" s="1251" t="e">
        <f t="shared" si="148"/>
        <v>#DIV/0!</v>
      </c>
      <c r="BJ95" s="1460">
        <f t="shared" si="199"/>
        <v>628959879.80102038</v>
      </c>
      <c r="BK95" s="1539">
        <f t="shared" si="200"/>
        <v>253164601.55102038</v>
      </c>
      <c r="BL95" s="1540">
        <f t="shared" si="194"/>
        <v>0.40251311678435242</v>
      </c>
      <c r="BM95" s="1539">
        <f t="shared" si="195"/>
        <v>248062796.89387751</v>
      </c>
      <c r="BN95" s="1541">
        <f t="shared" si="180"/>
        <v>0.39440162220260438</v>
      </c>
      <c r="BO95" s="1049" t="s">
        <v>2375</v>
      </c>
      <c r="BP95" s="1569" t="s">
        <v>2376</v>
      </c>
      <c r="BQ95" s="1696" t="s">
        <v>2377</v>
      </c>
      <c r="BR95" s="1697" t="s">
        <v>596</v>
      </c>
    </row>
    <row r="96" spans="1:70" ht="51" customHeight="1" thickBot="1">
      <c r="A96" s="1637" t="s">
        <v>2406</v>
      </c>
      <c r="B96" s="1637"/>
      <c r="C96" s="1638"/>
      <c r="D96" s="1638"/>
      <c r="E96" s="1639"/>
      <c r="F96" s="1639"/>
      <c r="G96" s="1639"/>
      <c r="H96" s="1639"/>
      <c r="I96" s="1639"/>
      <c r="J96" s="1639"/>
      <c r="K96" s="1639"/>
      <c r="L96" s="1639"/>
      <c r="M96" s="1639"/>
      <c r="N96" s="1639"/>
      <c r="O96" s="1639"/>
      <c r="P96" s="1640">
        <f>+SUMPRODUCT(P97:P97,Z97:Z97)</f>
        <v>1</v>
      </c>
      <c r="Q96" s="1641">
        <f>+SUMPRODUCT(Q97:Q97,AA97:AA97)</f>
        <v>1</v>
      </c>
      <c r="R96" s="1642">
        <f>+SUMPRODUCT(R97:R97,AB97:AB97)</f>
        <v>0</v>
      </c>
      <c r="S96" s="1642">
        <f>+SUMPRODUCT(S97:S97,AC97:AC97)</f>
        <v>0</v>
      </c>
      <c r="T96" s="1643"/>
      <c r="U96" s="1637"/>
      <c r="V96" s="1644"/>
      <c r="W96" s="1645"/>
      <c r="X96" s="1640">
        <f>+SUMPRODUCT(X97:X97,Y97:Y97)</f>
        <v>0.5</v>
      </c>
      <c r="Y96" s="1641">
        <v>8.5000000000000006E-2</v>
      </c>
      <c r="Z96" s="1641">
        <v>8.5000000000000006E-2</v>
      </c>
      <c r="AA96" s="1641">
        <v>8.5000000000000006E-2</v>
      </c>
      <c r="AB96" s="1641">
        <v>8.5000000000000006E-2</v>
      </c>
      <c r="AC96" s="1641">
        <v>8.5000000000000006E-2</v>
      </c>
      <c r="AD96" s="1638">
        <f>SUM(AD97:AD97)</f>
        <v>355815738.30320698</v>
      </c>
      <c r="AE96" s="1638">
        <f>SUM(AE97:AE97)</f>
        <v>450000000</v>
      </c>
      <c r="AF96" s="1638">
        <f t="shared" ref="AF96:AG96" si="208">SUM(AF97:AF97)</f>
        <v>576056250</v>
      </c>
      <c r="AG96" s="1638">
        <f t="shared" si="208"/>
        <v>604859062.5</v>
      </c>
      <c r="AH96" s="1638">
        <f>SUM(AH97:AH97)</f>
        <v>355766241.30320698</v>
      </c>
      <c r="AI96" s="1638">
        <f t="shared" ref="AI96:AK96" si="209">SUM(AI97:AI97)</f>
        <v>446000000</v>
      </c>
      <c r="AJ96" s="1638">
        <f t="shared" si="209"/>
        <v>0</v>
      </c>
      <c r="AK96" s="1638">
        <f t="shared" si="209"/>
        <v>0</v>
      </c>
      <c r="AL96" s="1646">
        <f t="shared" si="146"/>
        <v>0.99986089148210244</v>
      </c>
      <c r="AM96" s="1646">
        <f t="shared" si="146"/>
        <v>0.99111111111111116</v>
      </c>
      <c r="AN96" s="1646">
        <f t="shared" si="146"/>
        <v>0</v>
      </c>
      <c r="AO96" s="1646">
        <f t="shared" si="146"/>
        <v>0</v>
      </c>
      <c r="AP96" s="1638">
        <f t="shared" ref="AP96:AS96" si="210">SUM(AP97:AP97)</f>
        <v>347660999.66647232</v>
      </c>
      <c r="AQ96" s="1638">
        <f t="shared" si="210"/>
        <v>436062655.38999999</v>
      </c>
      <c r="AR96" s="1638">
        <f t="shared" si="210"/>
        <v>0</v>
      </c>
      <c r="AS96" s="1638">
        <f t="shared" si="210"/>
        <v>0</v>
      </c>
      <c r="AT96" s="1646">
        <f t="shared" si="147"/>
        <v>0.97708156846680672</v>
      </c>
      <c r="AU96" s="1646">
        <f t="shared" si="147"/>
        <v>0.96902812308888886</v>
      </c>
      <c r="AV96" s="1646">
        <f t="shared" si="147"/>
        <v>0</v>
      </c>
      <c r="AW96" s="1646">
        <f t="shared" si="147"/>
        <v>0</v>
      </c>
      <c r="AX96" s="1638">
        <f t="shared" ref="AX96:BE96" si="211">SUM(AX97:AX97)</f>
        <v>8105241.6367346644</v>
      </c>
      <c r="AY96" s="1638">
        <f t="shared" si="211"/>
        <v>9937344.6100000143</v>
      </c>
      <c r="AZ96" s="1638">
        <f t="shared" si="211"/>
        <v>0</v>
      </c>
      <c r="BA96" s="1638">
        <f t="shared" si="211"/>
        <v>0</v>
      </c>
      <c r="BB96" s="1638">
        <f t="shared" si="211"/>
        <v>0</v>
      </c>
      <c r="BC96" s="1638">
        <f t="shared" si="211"/>
        <v>0</v>
      </c>
      <c r="BD96" s="1638">
        <f t="shared" si="211"/>
        <v>0</v>
      </c>
      <c r="BE96" s="1638">
        <f t="shared" si="211"/>
        <v>0</v>
      </c>
      <c r="BF96" s="1641">
        <f t="shared" si="148"/>
        <v>0</v>
      </c>
      <c r="BG96" s="1641">
        <f t="shared" si="148"/>
        <v>0</v>
      </c>
      <c r="BH96" s="1641" t="e">
        <f t="shared" si="148"/>
        <v>#DIV/0!</v>
      </c>
      <c r="BI96" s="1641" t="e">
        <f t="shared" si="148"/>
        <v>#DIV/0!</v>
      </c>
      <c r="BJ96" s="1638">
        <f t="shared" si="199"/>
        <v>1986731050.8032069</v>
      </c>
      <c r="BK96" s="1647">
        <f t="shared" si="200"/>
        <v>801766241.30320692</v>
      </c>
      <c r="BL96" s="1648">
        <f t="shared" si="194"/>
        <v>0.40356053275508241</v>
      </c>
      <c r="BM96" s="1647">
        <f t="shared" si="195"/>
        <v>783723655.0564723</v>
      </c>
      <c r="BN96" s="1649">
        <f t="shared" si="180"/>
        <v>0.39447898835608575</v>
      </c>
      <c r="BO96" s="1638"/>
      <c r="BP96" s="1698"/>
      <c r="BQ96" s="1651"/>
      <c r="BR96" s="1666"/>
    </row>
    <row r="97" spans="1:70" ht="51" customHeight="1" thickBot="1">
      <c r="A97" s="1699" t="s">
        <v>612</v>
      </c>
      <c r="B97" s="1689" t="s">
        <v>2407</v>
      </c>
      <c r="C97" s="1454" t="s">
        <v>2181</v>
      </c>
      <c r="D97" s="1690">
        <v>1</v>
      </c>
      <c r="E97" s="1691">
        <v>1</v>
      </c>
      <c r="F97" s="1691">
        <v>1</v>
      </c>
      <c r="G97" s="1692">
        <v>1</v>
      </c>
      <c r="H97" s="1693">
        <v>1</v>
      </c>
      <c r="I97" s="1236">
        <v>1</v>
      </c>
      <c r="J97" s="1236"/>
      <c r="K97" s="1236"/>
      <c r="L97" s="1236"/>
      <c r="M97" s="1237"/>
      <c r="N97" s="1237"/>
      <c r="O97" s="1237"/>
      <c r="P97" s="1238">
        <f t="shared" ref="P97:S97" si="212">IF((H97+L97)/D97&gt;=100%,100%,(H97+L97)/D97)</f>
        <v>1</v>
      </c>
      <c r="Q97" s="1238">
        <f t="shared" si="212"/>
        <v>1</v>
      </c>
      <c r="R97" s="1238">
        <f t="shared" si="212"/>
        <v>0</v>
      </c>
      <c r="S97" s="1238">
        <f t="shared" si="212"/>
        <v>0</v>
      </c>
      <c r="T97" s="1694" t="s">
        <v>2408</v>
      </c>
      <c r="U97" s="1034">
        <v>46022</v>
      </c>
      <c r="V97" s="1035">
        <f>SUM(D97:G97)</f>
        <v>4</v>
      </c>
      <c r="W97" s="1035">
        <f>SUM(H97:N97)</f>
        <v>2</v>
      </c>
      <c r="X97" s="1700">
        <f t="shared" ref="X97" si="213">IF(W97/V97&gt;=100%,100%,W97/V97)</f>
        <v>0.5</v>
      </c>
      <c r="Y97" s="1241">
        <v>1</v>
      </c>
      <c r="Z97" s="1241">
        <v>1</v>
      </c>
      <c r="AA97" s="1241">
        <v>1</v>
      </c>
      <c r="AB97" s="1241">
        <v>1</v>
      </c>
      <c r="AC97" s="1241">
        <v>1</v>
      </c>
      <c r="AD97" s="1244">
        <f>310887500+44928238.303207</f>
        <v>355815738.30320698</v>
      </c>
      <c r="AE97" s="1244">
        <v>450000000</v>
      </c>
      <c r="AF97" s="1244">
        <v>576056250</v>
      </c>
      <c r="AG97" s="1244">
        <v>604859062.5</v>
      </c>
      <c r="AH97" s="1460">
        <f>310838003+44928238.303207</f>
        <v>355766241.30320698</v>
      </c>
      <c r="AI97" s="1244">
        <v>446000000</v>
      </c>
      <c r="AJ97" s="1244"/>
      <c r="AK97" s="1244"/>
      <c r="AL97" s="1245">
        <f t="shared" si="146"/>
        <v>0.99986089148210244</v>
      </c>
      <c r="AM97" s="1245">
        <f t="shared" si="146"/>
        <v>0.99111111111111116</v>
      </c>
      <c r="AN97" s="1245">
        <f t="shared" si="146"/>
        <v>0</v>
      </c>
      <c r="AO97" s="1245">
        <f t="shared" si="146"/>
        <v>0</v>
      </c>
      <c r="AP97" s="1246">
        <f>310697612+36963387.6664723</f>
        <v>347660999.66647232</v>
      </c>
      <c r="AQ97" s="1695">
        <v>436062655.38999999</v>
      </c>
      <c r="AR97" s="1568"/>
      <c r="AS97" s="1248"/>
      <c r="AT97" s="1249">
        <f t="shared" si="147"/>
        <v>0.97708156846680672</v>
      </c>
      <c r="AU97" s="1249">
        <f t="shared" si="147"/>
        <v>0.96902812308888886</v>
      </c>
      <c r="AV97" s="1249">
        <f t="shared" si="147"/>
        <v>0</v>
      </c>
      <c r="AW97" s="1249">
        <f t="shared" si="147"/>
        <v>0</v>
      </c>
      <c r="AX97" s="1044">
        <f t="shared" ref="AX97:BA97" si="214">+AH97-AP97</f>
        <v>8105241.6367346644</v>
      </c>
      <c r="AY97" s="1044">
        <f t="shared" si="214"/>
        <v>9937344.6100000143</v>
      </c>
      <c r="AZ97" s="1044">
        <f t="shared" si="214"/>
        <v>0</v>
      </c>
      <c r="BA97" s="1044">
        <f t="shared" si="214"/>
        <v>0</v>
      </c>
      <c r="BB97" s="1460"/>
      <c r="BC97" s="1460"/>
      <c r="BD97" s="1460"/>
      <c r="BE97" s="1460"/>
      <c r="BF97" s="1251">
        <f t="shared" si="148"/>
        <v>0</v>
      </c>
      <c r="BG97" s="1251">
        <f t="shared" si="148"/>
        <v>0</v>
      </c>
      <c r="BH97" s="1251" t="e">
        <f t="shared" si="148"/>
        <v>#DIV/0!</v>
      </c>
      <c r="BI97" s="1251" t="e">
        <f t="shared" si="148"/>
        <v>#DIV/0!</v>
      </c>
      <c r="BJ97" s="1460">
        <f t="shared" si="199"/>
        <v>1986731050.8032069</v>
      </c>
      <c r="BK97" s="1539">
        <f t="shared" si="200"/>
        <v>801766241.30320692</v>
      </c>
      <c r="BL97" s="1540">
        <f t="shared" si="194"/>
        <v>0.40356053275508241</v>
      </c>
      <c r="BM97" s="1539">
        <f t="shared" si="195"/>
        <v>783723655.0564723</v>
      </c>
      <c r="BN97" s="1541">
        <f t="shared" si="180"/>
        <v>0.39447898835608575</v>
      </c>
      <c r="BO97" s="1049" t="s">
        <v>2375</v>
      </c>
      <c r="BP97" s="1569" t="s">
        <v>2376</v>
      </c>
      <c r="BQ97" s="1696" t="s">
        <v>2377</v>
      </c>
      <c r="BR97" s="1697" t="s">
        <v>596</v>
      </c>
    </row>
    <row r="98" spans="1:70" ht="51" customHeight="1" thickBot="1">
      <c r="A98" s="1637" t="s">
        <v>2409</v>
      </c>
      <c r="B98" s="1637"/>
      <c r="C98" s="1638"/>
      <c r="D98" s="1638"/>
      <c r="E98" s="1639"/>
      <c r="F98" s="1639"/>
      <c r="G98" s="1639"/>
      <c r="H98" s="1639"/>
      <c r="I98" s="1639"/>
      <c r="J98" s="1639"/>
      <c r="K98" s="1639"/>
      <c r="L98" s="1639"/>
      <c r="M98" s="1639"/>
      <c r="N98" s="1639"/>
      <c r="O98" s="1639"/>
      <c r="P98" s="1640">
        <f>+SUMPRODUCT(P99:P99,Z99:Z99)</f>
        <v>1</v>
      </c>
      <c r="Q98" s="1641">
        <f>+SUMPRODUCT(Q99:Q99,AA99:AA99)</f>
        <v>1</v>
      </c>
      <c r="R98" s="1642">
        <f>+SUMPRODUCT(R99:R99,AB99:AB99)</f>
        <v>0</v>
      </c>
      <c r="S98" s="1642">
        <f>+SUMPRODUCT(S99:S99,AC99:AC99)</f>
        <v>0</v>
      </c>
      <c r="T98" s="1643"/>
      <c r="U98" s="1637"/>
      <c r="V98" s="1644"/>
      <c r="W98" s="1645"/>
      <c r="X98" s="1640">
        <f>+SUMPRODUCT(X99:X99,Y99:Y99)</f>
        <v>0.5</v>
      </c>
      <c r="Y98" s="1641">
        <v>0.05</v>
      </c>
      <c r="Z98" s="1641">
        <v>0.05</v>
      </c>
      <c r="AA98" s="1641">
        <v>0.05</v>
      </c>
      <c r="AB98" s="1641">
        <v>0.05</v>
      </c>
      <c r="AC98" s="1641">
        <v>0.05</v>
      </c>
      <c r="AD98" s="1638">
        <f>SUM(AD99:AD99)</f>
        <v>226428197.1020408</v>
      </c>
      <c r="AE98" s="1638">
        <f>SUM(AE99:AE99)</f>
        <v>290000000</v>
      </c>
      <c r="AF98" s="1638">
        <f t="shared" ref="AF98:AG98" si="215">SUM(AF99:AF99)</f>
        <v>366581250</v>
      </c>
      <c r="AG98" s="1638">
        <f t="shared" si="215"/>
        <v>384910312.5</v>
      </c>
      <c r="AH98" s="1638">
        <f>SUM(AH99:AH99)</f>
        <v>226428197.1020408</v>
      </c>
      <c r="AI98" s="1638">
        <f t="shared" ref="AI98:AK98" si="216">SUM(AI99:AI99)</f>
        <v>290000000</v>
      </c>
      <c r="AJ98" s="1638">
        <f t="shared" si="216"/>
        <v>0</v>
      </c>
      <c r="AK98" s="1638">
        <f t="shared" si="216"/>
        <v>0</v>
      </c>
      <c r="AL98" s="1646">
        <f t="shared" si="146"/>
        <v>1</v>
      </c>
      <c r="AM98" s="1646">
        <f t="shared" si="146"/>
        <v>1</v>
      </c>
      <c r="AN98" s="1646">
        <f t="shared" si="146"/>
        <v>0</v>
      </c>
      <c r="AO98" s="1646">
        <f t="shared" si="146"/>
        <v>0</v>
      </c>
      <c r="AP98" s="1638">
        <f t="shared" ref="AP98:AS98" si="217">SUM(AP99:AP99)</f>
        <v>204000905.7877551</v>
      </c>
      <c r="AQ98" s="1638">
        <f t="shared" si="217"/>
        <v>225341409.34</v>
      </c>
      <c r="AR98" s="1638">
        <f t="shared" si="217"/>
        <v>0</v>
      </c>
      <c r="AS98" s="1638">
        <f t="shared" si="217"/>
        <v>0</v>
      </c>
      <c r="AT98" s="1646">
        <f t="shared" si="147"/>
        <v>0.90095186199721078</v>
      </c>
      <c r="AU98" s="1646">
        <f t="shared" si="147"/>
        <v>0.77703934255172413</v>
      </c>
      <c r="AV98" s="1646">
        <f t="shared" si="147"/>
        <v>0</v>
      </c>
      <c r="AW98" s="1646">
        <f t="shared" si="147"/>
        <v>0</v>
      </c>
      <c r="AX98" s="1638">
        <f t="shared" ref="AX98:BE98" si="218">SUM(AX99:AX99)</f>
        <v>22427291.314285696</v>
      </c>
      <c r="AY98" s="1638">
        <f t="shared" si="218"/>
        <v>64658590.659999996</v>
      </c>
      <c r="AZ98" s="1638">
        <f t="shared" si="218"/>
        <v>0</v>
      </c>
      <c r="BA98" s="1638">
        <f t="shared" si="218"/>
        <v>0</v>
      </c>
      <c r="BB98" s="1638">
        <f t="shared" si="218"/>
        <v>0</v>
      </c>
      <c r="BC98" s="1638">
        <f t="shared" si="218"/>
        <v>0</v>
      </c>
      <c r="BD98" s="1638">
        <f t="shared" si="218"/>
        <v>0</v>
      </c>
      <c r="BE98" s="1638">
        <f t="shared" si="218"/>
        <v>0</v>
      </c>
      <c r="BF98" s="1641">
        <f t="shared" si="148"/>
        <v>0</v>
      </c>
      <c r="BG98" s="1641">
        <f t="shared" si="148"/>
        <v>0</v>
      </c>
      <c r="BH98" s="1641" t="e">
        <f t="shared" si="148"/>
        <v>#DIV/0!</v>
      </c>
      <c r="BI98" s="1641" t="e">
        <f t="shared" si="148"/>
        <v>#DIV/0!</v>
      </c>
      <c r="BJ98" s="1638">
        <f t="shared" si="199"/>
        <v>1267919759.6020408</v>
      </c>
      <c r="BK98" s="1647">
        <f t="shared" si="200"/>
        <v>516428197.10204077</v>
      </c>
      <c r="BL98" s="1648">
        <f t="shared" si="194"/>
        <v>0.40730353257065016</v>
      </c>
      <c r="BM98" s="1647">
        <f t="shared" si="195"/>
        <v>429342315.12775511</v>
      </c>
      <c r="BN98" s="1649">
        <f t="shared" si="180"/>
        <v>0.33861946852418473</v>
      </c>
      <c r="BO98" s="1638"/>
      <c r="BP98" s="1698"/>
      <c r="BQ98" s="1651"/>
      <c r="BR98" s="1666"/>
    </row>
    <row r="99" spans="1:70" ht="51" customHeight="1" thickBot="1">
      <c r="A99" s="1688" t="s">
        <v>613</v>
      </c>
      <c r="B99" s="1689" t="s">
        <v>2410</v>
      </c>
      <c r="C99" s="1454" t="s">
        <v>2181</v>
      </c>
      <c r="D99" s="1690">
        <v>1</v>
      </c>
      <c r="E99" s="1691">
        <v>1</v>
      </c>
      <c r="F99" s="1691">
        <v>1</v>
      </c>
      <c r="G99" s="1692">
        <v>1</v>
      </c>
      <c r="H99" s="1693">
        <v>1</v>
      </c>
      <c r="I99" s="1236">
        <v>1</v>
      </c>
      <c r="J99" s="1236"/>
      <c r="K99" s="1236"/>
      <c r="L99" s="1236"/>
      <c r="M99" s="1237"/>
      <c r="N99" s="1237"/>
      <c r="O99" s="1237"/>
      <c r="P99" s="1238">
        <f t="shared" ref="P99:S99" si="219">IF((H99+L99)/D99&gt;=100%,100%,(H99+L99)/D99)</f>
        <v>1</v>
      </c>
      <c r="Q99" s="1238">
        <f t="shared" si="219"/>
        <v>1</v>
      </c>
      <c r="R99" s="1238">
        <f t="shared" si="219"/>
        <v>0</v>
      </c>
      <c r="S99" s="1238">
        <f t="shared" si="219"/>
        <v>0</v>
      </c>
      <c r="T99" s="1694" t="s">
        <v>2411</v>
      </c>
      <c r="U99" s="1034">
        <v>46022</v>
      </c>
      <c r="V99" s="1035">
        <f>SUM(D99:G99)</f>
        <v>4</v>
      </c>
      <c r="W99" s="1035">
        <f>SUM(H99:N99)</f>
        <v>2</v>
      </c>
      <c r="X99" s="1700">
        <f t="shared" ref="X99" si="220">IF(W99/V99&gt;=100%,100%,W99/V99)</f>
        <v>0.5</v>
      </c>
      <c r="Y99" s="1241">
        <v>1</v>
      </c>
      <c r="Z99" s="1241">
        <v>1</v>
      </c>
      <c r="AA99" s="1241">
        <v>1</v>
      </c>
      <c r="AB99" s="1241">
        <v>1</v>
      </c>
      <c r="AC99" s="1241">
        <v>1</v>
      </c>
      <c r="AD99" s="1244">
        <f>197837500+28590697.1020408</f>
        <v>226428197.1020408</v>
      </c>
      <c r="AE99" s="1244">
        <v>290000000</v>
      </c>
      <c r="AF99" s="1244">
        <v>366581250</v>
      </c>
      <c r="AG99" s="1244">
        <v>384910312.5</v>
      </c>
      <c r="AH99" s="1460">
        <f>197837500+28590697.1020408</f>
        <v>226428197.1020408</v>
      </c>
      <c r="AI99" s="1244">
        <v>290000000</v>
      </c>
      <c r="AJ99" s="1244"/>
      <c r="AK99" s="1244"/>
      <c r="AL99" s="1245">
        <f t="shared" si="146"/>
        <v>1</v>
      </c>
      <c r="AM99" s="1245">
        <f t="shared" si="146"/>
        <v>1</v>
      </c>
      <c r="AN99" s="1245">
        <f t="shared" si="146"/>
        <v>0</v>
      </c>
      <c r="AO99" s="1245">
        <f t="shared" si="146"/>
        <v>0</v>
      </c>
      <c r="AP99" s="1246">
        <f>180478750+23522155.7877551</f>
        <v>204000905.7877551</v>
      </c>
      <c r="AQ99" s="1695">
        <v>225341409.34</v>
      </c>
      <c r="AR99" s="1568"/>
      <c r="AS99" s="1248"/>
      <c r="AT99" s="1249">
        <f t="shared" si="147"/>
        <v>0.90095186199721078</v>
      </c>
      <c r="AU99" s="1249">
        <f t="shared" si="147"/>
        <v>0.77703934255172413</v>
      </c>
      <c r="AV99" s="1249">
        <f t="shared" si="147"/>
        <v>0</v>
      </c>
      <c r="AW99" s="1249">
        <f t="shared" si="147"/>
        <v>0</v>
      </c>
      <c r="AX99" s="1044">
        <f t="shared" ref="AX99:BA99" si="221">+AH99-AP99</f>
        <v>22427291.314285696</v>
      </c>
      <c r="AY99" s="1044">
        <f t="shared" si="221"/>
        <v>64658590.659999996</v>
      </c>
      <c r="AZ99" s="1044">
        <f t="shared" si="221"/>
        <v>0</v>
      </c>
      <c r="BA99" s="1044">
        <f t="shared" si="221"/>
        <v>0</v>
      </c>
      <c r="BB99" s="1460"/>
      <c r="BC99" s="1460"/>
      <c r="BD99" s="1460"/>
      <c r="BE99" s="1460"/>
      <c r="BF99" s="1251">
        <f t="shared" si="148"/>
        <v>0</v>
      </c>
      <c r="BG99" s="1251">
        <f t="shared" si="148"/>
        <v>0</v>
      </c>
      <c r="BH99" s="1251" t="e">
        <f t="shared" si="148"/>
        <v>#DIV/0!</v>
      </c>
      <c r="BI99" s="1251" t="e">
        <f t="shared" si="148"/>
        <v>#DIV/0!</v>
      </c>
      <c r="BJ99" s="1460">
        <f t="shared" si="199"/>
        <v>1267919759.6020408</v>
      </c>
      <c r="BK99" s="1539">
        <f t="shared" si="200"/>
        <v>516428197.10204077</v>
      </c>
      <c r="BL99" s="1540">
        <f t="shared" si="194"/>
        <v>0.40730353257065016</v>
      </c>
      <c r="BM99" s="1539">
        <f t="shared" si="195"/>
        <v>429342315.12775511</v>
      </c>
      <c r="BN99" s="1541">
        <f t="shared" si="180"/>
        <v>0.33861946852418473</v>
      </c>
      <c r="BO99" s="1049" t="s">
        <v>2375</v>
      </c>
      <c r="BP99" s="1569" t="s">
        <v>2376</v>
      </c>
      <c r="BQ99" s="1701" t="s">
        <v>2193</v>
      </c>
      <c r="BR99" s="1697" t="s">
        <v>596</v>
      </c>
    </row>
    <row r="100" spans="1:70" ht="51" customHeight="1" thickBot="1">
      <c r="A100" s="1637" t="s">
        <v>2412</v>
      </c>
      <c r="B100" s="1637"/>
      <c r="C100" s="1638"/>
      <c r="D100" s="1638"/>
      <c r="E100" s="1639"/>
      <c r="F100" s="1639"/>
      <c r="G100" s="1639"/>
      <c r="H100" s="1639"/>
      <c r="I100" s="1639"/>
      <c r="J100" s="1639"/>
      <c r="K100" s="1639"/>
      <c r="L100" s="1639"/>
      <c r="M100" s="1639"/>
      <c r="N100" s="1639"/>
      <c r="O100" s="1639"/>
      <c r="P100" s="1640">
        <f>+SUMPRODUCT(P101:P102,Z101:Z102)</f>
        <v>1</v>
      </c>
      <c r="Q100" s="1641">
        <f>+SUMPRODUCT(Q101:Q102,AA101:AA102)</f>
        <v>1</v>
      </c>
      <c r="R100" s="1642">
        <f>+SUMPRODUCT(R101:R102,AB101:AB102)</f>
        <v>0</v>
      </c>
      <c r="S100" s="1642">
        <f>+SUMPRODUCT(S101:S102,AC101:AC102)</f>
        <v>0</v>
      </c>
      <c r="T100" s="1643"/>
      <c r="U100" s="1637"/>
      <c r="V100" s="1644"/>
      <c r="W100" s="1645"/>
      <c r="X100" s="1640">
        <f>+SUMPRODUCT(X101:X102,Y101:Y102)</f>
        <v>0.8</v>
      </c>
      <c r="Y100" s="1641">
        <v>8.5000000000000006E-2</v>
      </c>
      <c r="Z100" s="1641">
        <v>8.5000000000000006E-2</v>
      </c>
      <c r="AA100" s="1641">
        <v>8.5000000000000006E-2</v>
      </c>
      <c r="AB100" s="1641">
        <v>8.5000000000000006E-2</v>
      </c>
      <c r="AC100" s="1641">
        <v>8.5000000000000006E-2</v>
      </c>
      <c r="AD100" s="1638">
        <f>SUM(AD101:AD102)</f>
        <v>371989180.95335281</v>
      </c>
      <c r="AE100" s="1638">
        <f>SUM(AE101:AE102)</f>
        <v>480000000</v>
      </c>
      <c r="AF100" s="1638">
        <f t="shared" ref="AF100:AG100" si="222">SUM(AF101:AF102)</f>
        <v>602240625</v>
      </c>
      <c r="AG100" s="1638">
        <f t="shared" si="222"/>
        <v>632352656.25</v>
      </c>
      <c r="AH100" s="1638">
        <f>SUM(AH101:AH102)</f>
        <v>371989180.95335281</v>
      </c>
      <c r="AI100" s="1638">
        <f t="shared" ref="AI100:AK100" si="223">SUM(AI101:AI102)</f>
        <v>480000000</v>
      </c>
      <c r="AJ100" s="1638">
        <f t="shared" si="223"/>
        <v>0</v>
      </c>
      <c r="AK100" s="1638">
        <f t="shared" si="223"/>
        <v>0</v>
      </c>
      <c r="AL100" s="1646">
        <f t="shared" si="146"/>
        <v>1</v>
      </c>
      <c r="AM100" s="1646">
        <f t="shared" si="146"/>
        <v>1</v>
      </c>
      <c r="AN100" s="1646">
        <f t="shared" si="146"/>
        <v>0</v>
      </c>
      <c r="AO100" s="1646">
        <f t="shared" si="146"/>
        <v>0</v>
      </c>
      <c r="AP100" s="1638">
        <f>SUM(AP101:AP102)</f>
        <v>363662291.65131187</v>
      </c>
      <c r="AQ100" s="1638">
        <f t="shared" ref="AQ100:AS100" si="224">SUM(AQ101:AQ102)</f>
        <v>473651297.41000003</v>
      </c>
      <c r="AR100" s="1638">
        <f t="shared" si="224"/>
        <v>0</v>
      </c>
      <c r="AS100" s="1638">
        <f t="shared" si="224"/>
        <v>0</v>
      </c>
      <c r="AT100" s="1646">
        <f t="shared" si="147"/>
        <v>0.97761523794670491</v>
      </c>
      <c r="AU100" s="1646">
        <f t="shared" si="147"/>
        <v>0.98677353627083342</v>
      </c>
      <c r="AV100" s="1646">
        <f t="shared" si="147"/>
        <v>0</v>
      </c>
      <c r="AW100" s="1646">
        <f t="shared" si="147"/>
        <v>0</v>
      </c>
      <c r="AX100" s="1638">
        <f t="shared" ref="AX100:BE100" si="225">SUM(AX101:AX102)</f>
        <v>8326889.3020409346</v>
      </c>
      <c r="AY100" s="1638">
        <f t="shared" si="225"/>
        <v>6348702.5899999738</v>
      </c>
      <c r="AZ100" s="1638">
        <f t="shared" si="225"/>
        <v>0</v>
      </c>
      <c r="BA100" s="1638">
        <f t="shared" si="225"/>
        <v>0</v>
      </c>
      <c r="BB100" s="1638">
        <f t="shared" si="225"/>
        <v>0</v>
      </c>
      <c r="BC100" s="1638">
        <f t="shared" si="225"/>
        <v>0</v>
      </c>
      <c r="BD100" s="1638">
        <f t="shared" si="225"/>
        <v>0</v>
      </c>
      <c r="BE100" s="1638">
        <f t="shared" si="225"/>
        <v>0</v>
      </c>
      <c r="BF100" s="1641">
        <f t="shared" si="148"/>
        <v>0</v>
      </c>
      <c r="BG100" s="1641">
        <f t="shared" si="148"/>
        <v>0</v>
      </c>
      <c r="BH100" s="1641" t="e">
        <f t="shared" si="148"/>
        <v>#DIV/0!</v>
      </c>
      <c r="BI100" s="1641" t="e">
        <f t="shared" si="148"/>
        <v>#DIV/0!</v>
      </c>
      <c r="BJ100" s="1638">
        <f t="shared" si="199"/>
        <v>2086582462.2033529</v>
      </c>
      <c r="BK100" s="1647">
        <f t="shared" si="200"/>
        <v>851989180.95335281</v>
      </c>
      <c r="BL100" s="1648">
        <f t="shared" si="194"/>
        <v>0.40831800151031855</v>
      </c>
      <c r="BM100" s="1647">
        <f t="shared" si="195"/>
        <v>837313589.06131196</v>
      </c>
      <c r="BN100" s="1649">
        <f t="shared" si="180"/>
        <v>0.4012846864327328</v>
      </c>
      <c r="BO100" s="1638"/>
      <c r="BP100" s="1698"/>
      <c r="BQ100" s="1651"/>
      <c r="BR100" s="1666"/>
    </row>
    <row r="101" spans="1:70" ht="51" customHeight="1" thickBot="1">
      <c r="A101" s="1622" t="s">
        <v>614</v>
      </c>
      <c r="B101" s="1623" t="s">
        <v>2413</v>
      </c>
      <c r="C101" s="1025" t="s">
        <v>2181</v>
      </c>
      <c r="D101" s="1624">
        <v>1</v>
      </c>
      <c r="E101" s="1625">
        <v>1</v>
      </c>
      <c r="F101" s="1625">
        <v>1</v>
      </c>
      <c r="G101" s="1626">
        <v>1</v>
      </c>
      <c r="H101" s="1627">
        <v>1</v>
      </c>
      <c r="I101" s="1030">
        <v>3</v>
      </c>
      <c r="J101" s="1030"/>
      <c r="K101" s="1030"/>
      <c r="L101" s="1030"/>
      <c r="M101" s="1031"/>
      <c r="N101" s="1031"/>
      <c r="O101" s="1031"/>
      <c r="P101" s="1032">
        <f t="shared" ref="P101:S102" si="226">IF((H101+L101)/D101&gt;=100%,100%,(H101+L101)/D101)</f>
        <v>1</v>
      </c>
      <c r="Q101" s="1032">
        <f t="shared" si="226"/>
        <v>1</v>
      </c>
      <c r="R101" s="1032">
        <f t="shared" si="226"/>
        <v>0</v>
      </c>
      <c r="S101" s="1032">
        <f t="shared" si="226"/>
        <v>0</v>
      </c>
      <c r="T101" s="1702" t="s">
        <v>2414</v>
      </c>
      <c r="U101" s="1034">
        <v>46022</v>
      </c>
      <c r="V101" s="1035">
        <f t="shared" ref="V101:V102" si="227">SUM(D101:G101)</f>
        <v>4</v>
      </c>
      <c r="W101" s="1035">
        <f t="shared" ref="W101:W102" si="228">SUM(H101:N101)</f>
        <v>4</v>
      </c>
      <c r="X101" s="1279">
        <f t="shared" ref="X101:X102" si="229">IF(W101/V101&gt;=100%,100%,W101/V101)</f>
        <v>1</v>
      </c>
      <c r="Y101" s="1037">
        <v>0.6</v>
      </c>
      <c r="Z101" s="1037">
        <v>0.6</v>
      </c>
      <c r="AA101" s="1037">
        <v>0.6</v>
      </c>
      <c r="AB101" s="1037">
        <v>0.6</v>
      </c>
      <c r="AC101" s="1037">
        <v>0.6</v>
      </c>
      <c r="AD101" s="1137">
        <f>183706250+(46970430.9533528/2)</f>
        <v>207191465.4766764</v>
      </c>
      <c r="AE101" s="1137">
        <v>270000000</v>
      </c>
      <c r="AF101" s="1137">
        <v>340396875</v>
      </c>
      <c r="AG101" s="1137">
        <v>357416718.75</v>
      </c>
      <c r="AH101" s="1049">
        <f>183706250+(46970430.9533528/2)</f>
        <v>207191465.4766764</v>
      </c>
      <c r="AI101" s="1137">
        <v>270000000</v>
      </c>
      <c r="AJ101" s="1137"/>
      <c r="AK101" s="1137"/>
      <c r="AL101" s="1039">
        <f t="shared" si="146"/>
        <v>1</v>
      </c>
      <c r="AM101" s="1039">
        <f t="shared" si="146"/>
        <v>1</v>
      </c>
      <c r="AN101" s="1039">
        <f t="shared" si="146"/>
        <v>0</v>
      </c>
      <c r="AO101" s="1039">
        <f t="shared" si="146"/>
        <v>0</v>
      </c>
      <c r="AP101" s="1138">
        <f>183706250+(38643541.6513119/2)</f>
        <v>203028020.82565594</v>
      </c>
      <c r="AQ101" s="1139">
        <v>266335105.30000001</v>
      </c>
      <c r="AR101" s="1552"/>
      <c r="AS101" s="1042"/>
      <c r="AT101" s="1043">
        <f t="shared" si="147"/>
        <v>0.97990532746393866</v>
      </c>
      <c r="AU101" s="1043">
        <f t="shared" si="147"/>
        <v>0.986426315925926</v>
      </c>
      <c r="AV101" s="1043">
        <f t="shared" si="147"/>
        <v>0</v>
      </c>
      <c r="AW101" s="1043">
        <f t="shared" si="147"/>
        <v>0</v>
      </c>
      <c r="AX101" s="1044">
        <f t="shared" ref="AX101:BA102" si="230">+AH101-AP101</f>
        <v>4163444.6510204673</v>
      </c>
      <c r="AY101" s="1044">
        <f t="shared" si="230"/>
        <v>3664894.6999999881</v>
      </c>
      <c r="AZ101" s="1044">
        <f t="shared" si="230"/>
        <v>0</v>
      </c>
      <c r="BA101" s="1044">
        <f t="shared" si="230"/>
        <v>0</v>
      </c>
      <c r="BB101" s="1049"/>
      <c r="BC101" s="1049"/>
      <c r="BD101" s="1049"/>
      <c r="BE101" s="1049"/>
      <c r="BF101" s="1045">
        <f t="shared" si="148"/>
        <v>0</v>
      </c>
      <c r="BG101" s="1045">
        <f t="shared" si="148"/>
        <v>0</v>
      </c>
      <c r="BH101" s="1045" t="e">
        <f t="shared" si="148"/>
        <v>#DIV/0!</v>
      </c>
      <c r="BI101" s="1045" t="e">
        <f t="shared" si="148"/>
        <v>#DIV/0!</v>
      </c>
      <c r="BJ101" s="1049">
        <f t="shared" si="199"/>
        <v>1175005059.2266765</v>
      </c>
      <c r="BK101" s="1141">
        <f t="shared" si="200"/>
        <v>477191465.4766764</v>
      </c>
      <c r="BL101" s="1142">
        <f t="shared" si="194"/>
        <v>0.40611864751521792</v>
      </c>
      <c r="BM101" s="1141">
        <f t="shared" si="195"/>
        <v>469363126.12565595</v>
      </c>
      <c r="BN101" s="1143">
        <f t="shared" si="180"/>
        <v>0.3994562597326729</v>
      </c>
      <c r="BO101" s="1049" t="s">
        <v>2375</v>
      </c>
      <c r="BP101" s="1409" t="s">
        <v>2376</v>
      </c>
      <c r="BQ101" s="1410" t="s">
        <v>2377</v>
      </c>
      <c r="BR101" s="1348" t="s">
        <v>596</v>
      </c>
    </row>
    <row r="102" spans="1:70" ht="51" customHeight="1" thickBot="1">
      <c r="A102" s="1429" t="s">
        <v>615</v>
      </c>
      <c r="B102" s="1630" t="s">
        <v>2415</v>
      </c>
      <c r="C102" s="1152" t="s">
        <v>2181</v>
      </c>
      <c r="D102" s="1631">
        <v>1</v>
      </c>
      <c r="E102" s="1632">
        <v>1</v>
      </c>
      <c r="F102" s="1632">
        <v>1</v>
      </c>
      <c r="G102" s="1633">
        <v>1</v>
      </c>
      <c r="H102" s="1634">
        <v>1</v>
      </c>
      <c r="I102" s="1182">
        <v>1</v>
      </c>
      <c r="J102" s="1182"/>
      <c r="K102" s="1182"/>
      <c r="L102" s="1182"/>
      <c r="M102" s="1101"/>
      <c r="N102" s="1101"/>
      <c r="O102" s="1101"/>
      <c r="P102" s="1102">
        <f t="shared" si="226"/>
        <v>1</v>
      </c>
      <c r="Q102" s="1238">
        <f t="shared" si="226"/>
        <v>1</v>
      </c>
      <c r="R102" s="1102"/>
      <c r="S102" s="1102"/>
      <c r="T102" s="1686" t="s">
        <v>2416</v>
      </c>
      <c r="U102" s="1034">
        <v>46022</v>
      </c>
      <c r="V102" s="1035">
        <f t="shared" si="227"/>
        <v>4</v>
      </c>
      <c r="W102" s="1035">
        <f t="shared" si="228"/>
        <v>2</v>
      </c>
      <c r="X102" s="1279">
        <f t="shared" si="229"/>
        <v>0.5</v>
      </c>
      <c r="Y102" s="1104">
        <v>0.4</v>
      </c>
      <c r="Z102" s="1104">
        <v>0.4</v>
      </c>
      <c r="AA102" s="1104">
        <v>0.4</v>
      </c>
      <c r="AB102" s="1104">
        <v>0.4</v>
      </c>
      <c r="AC102" s="1104">
        <v>0.4</v>
      </c>
      <c r="AD102" s="1106">
        <f>141312500+(46970430.9533528/2)</f>
        <v>164797715.4766764</v>
      </c>
      <c r="AE102" s="1106">
        <v>210000000</v>
      </c>
      <c r="AF102" s="1106">
        <v>261843750</v>
      </c>
      <c r="AG102" s="1106">
        <v>274935937.5</v>
      </c>
      <c r="AH102" s="1113">
        <f>141312500+(46970430.9533528/2)</f>
        <v>164797715.4766764</v>
      </c>
      <c r="AI102" s="1137">
        <v>210000000</v>
      </c>
      <c r="AJ102" s="1137"/>
      <c r="AK102" s="1137"/>
      <c r="AL102" s="1295">
        <f t="shared" si="146"/>
        <v>1</v>
      </c>
      <c r="AM102" s="1295">
        <f t="shared" si="146"/>
        <v>1</v>
      </c>
      <c r="AN102" s="1295">
        <f t="shared" si="146"/>
        <v>0</v>
      </c>
      <c r="AO102" s="1295">
        <f t="shared" si="146"/>
        <v>0</v>
      </c>
      <c r="AP102" s="1109">
        <f>141312500+(38643541.6513119/2)</f>
        <v>160634270.82565594</v>
      </c>
      <c r="AQ102" s="1139">
        <v>207316192.11000001</v>
      </c>
      <c r="AR102" s="1567"/>
      <c r="AS102" s="1188"/>
      <c r="AT102" s="1189">
        <f t="shared" si="147"/>
        <v>0.97473602932554171</v>
      </c>
      <c r="AU102" s="1189">
        <f t="shared" si="147"/>
        <v>0.98721996242857146</v>
      </c>
      <c r="AV102" s="1189">
        <f t="shared" si="147"/>
        <v>0</v>
      </c>
      <c r="AW102" s="1189">
        <f t="shared" si="147"/>
        <v>0</v>
      </c>
      <c r="AX102" s="1044">
        <f t="shared" si="230"/>
        <v>4163444.6510204673</v>
      </c>
      <c r="AY102" s="1044">
        <f t="shared" si="230"/>
        <v>2683807.8899999857</v>
      </c>
      <c r="AZ102" s="1044">
        <f t="shared" si="230"/>
        <v>0</v>
      </c>
      <c r="BA102" s="1044">
        <f t="shared" si="230"/>
        <v>0</v>
      </c>
      <c r="BB102" s="1113"/>
      <c r="BC102" s="1113"/>
      <c r="BD102" s="1113"/>
      <c r="BE102" s="1113"/>
      <c r="BF102" s="1190">
        <f t="shared" si="148"/>
        <v>0</v>
      </c>
      <c r="BG102" s="1190">
        <f t="shared" si="148"/>
        <v>0</v>
      </c>
      <c r="BH102" s="1190" t="e">
        <f t="shared" si="148"/>
        <v>#DIV/0!</v>
      </c>
      <c r="BI102" s="1190" t="e">
        <f t="shared" si="148"/>
        <v>#DIV/0!</v>
      </c>
      <c r="BJ102" s="1113">
        <f t="shared" si="199"/>
        <v>911577402.97667646</v>
      </c>
      <c r="BK102" s="1484">
        <f t="shared" si="200"/>
        <v>374797715.4766764</v>
      </c>
      <c r="BL102" s="1485">
        <f t="shared" si="194"/>
        <v>0.4111529248671667</v>
      </c>
      <c r="BM102" s="1484">
        <f t="shared" si="195"/>
        <v>367950462.93565595</v>
      </c>
      <c r="BN102" s="1486">
        <f t="shared" si="180"/>
        <v>0.40364149191735754</v>
      </c>
      <c r="BO102" s="1049" t="s">
        <v>2375</v>
      </c>
      <c r="BP102" s="1461" t="s">
        <v>2376</v>
      </c>
      <c r="BQ102" s="1703" t="s">
        <v>2193</v>
      </c>
      <c r="BR102" s="1636" t="s">
        <v>596</v>
      </c>
    </row>
    <row r="103" spans="1:70" ht="51" customHeight="1">
      <c r="A103" s="1704" t="s">
        <v>2417</v>
      </c>
      <c r="B103" s="1704"/>
      <c r="C103" s="1705"/>
      <c r="D103" s="1705"/>
      <c r="E103" s="1706"/>
      <c r="F103" s="1706"/>
      <c r="G103" s="1706"/>
      <c r="H103" s="1706"/>
      <c r="I103" s="1706"/>
      <c r="J103" s="1706"/>
      <c r="K103" s="1706"/>
      <c r="L103" s="1706"/>
      <c r="M103" s="1706"/>
      <c r="N103" s="1706"/>
      <c r="O103" s="1706"/>
      <c r="P103" s="1707">
        <f>+(P104*Z104)</f>
        <v>1</v>
      </c>
      <c r="Q103" s="1707">
        <f>+(Q104*AA104)</f>
        <v>1</v>
      </c>
      <c r="R103" s="1708">
        <f>+(R104*AB104)</f>
        <v>0</v>
      </c>
      <c r="S103" s="1708">
        <f>+(S104*AC104)</f>
        <v>0</v>
      </c>
      <c r="T103" s="1709"/>
      <c r="U103" s="1704"/>
      <c r="V103" s="1710"/>
      <c r="W103" s="1711"/>
      <c r="X103" s="1707">
        <f>+(X104*Y104)</f>
        <v>0.5</v>
      </c>
      <c r="Y103" s="1712">
        <v>0.2</v>
      </c>
      <c r="Z103" s="1712">
        <v>0.2</v>
      </c>
      <c r="AA103" s="1712">
        <v>0.2</v>
      </c>
      <c r="AB103" s="1712">
        <v>0.2</v>
      </c>
      <c r="AC103" s="1712">
        <v>0.2</v>
      </c>
      <c r="AD103" s="1705">
        <f>+AD104</f>
        <v>1035100329.609329</v>
      </c>
      <c r="AE103" s="1705">
        <f>+AE104</f>
        <v>1240000000</v>
      </c>
      <c r="AF103" s="1705">
        <f t="shared" ref="AF103:AG103" si="231">+AF104</f>
        <v>1675800000</v>
      </c>
      <c r="AG103" s="1705">
        <f t="shared" si="231"/>
        <v>1759590000</v>
      </c>
      <c r="AH103" s="1705">
        <f>+AH104</f>
        <v>1035100329.609329</v>
      </c>
      <c r="AI103" s="1705">
        <f t="shared" ref="AI103:AK103" si="232">+AI104</f>
        <v>1240000000</v>
      </c>
      <c r="AJ103" s="1705">
        <f t="shared" si="232"/>
        <v>0</v>
      </c>
      <c r="AK103" s="1705">
        <f t="shared" si="232"/>
        <v>0</v>
      </c>
      <c r="AL103" s="1713">
        <f t="shared" si="146"/>
        <v>1</v>
      </c>
      <c r="AM103" s="1713">
        <f t="shared" si="146"/>
        <v>1</v>
      </c>
      <c r="AN103" s="1713">
        <f t="shared" si="146"/>
        <v>0</v>
      </c>
      <c r="AO103" s="1713">
        <f t="shared" si="146"/>
        <v>0</v>
      </c>
      <c r="AP103" s="1705">
        <f>+AP104</f>
        <v>814834855.02973795</v>
      </c>
      <c r="AQ103" s="1714">
        <f t="shared" ref="AQ103:AS103" si="233">+AQ104</f>
        <v>740932450.76999998</v>
      </c>
      <c r="AR103" s="1714">
        <f t="shared" si="233"/>
        <v>0</v>
      </c>
      <c r="AS103" s="1714">
        <f t="shared" si="233"/>
        <v>0</v>
      </c>
      <c r="AT103" s="1713">
        <f t="shared" si="147"/>
        <v>0.78720374414070149</v>
      </c>
      <c r="AU103" s="1713">
        <f t="shared" si="147"/>
        <v>0.59752616997580643</v>
      </c>
      <c r="AV103" s="1713">
        <f t="shared" si="147"/>
        <v>0</v>
      </c>
      <c r="AW103" s="1713">
        <f t="shared" si="147"/>
        <v>0</v>
      </c>
      <c r="AX103" s="1705">
        <f t="shared" ref="AX103:BE103" si="234">+AX104</f>
        <v>220265474.57959098</v>
      </c>
      <c r="AY103" s="1705">
        <f t="shared" si="234"/>
        <v>499067549.23000002</v>
      </c>
      <c r="AZ103" s="1705">
        <f t="shared" si="234"/>
        <v>0</v>
      </c>
      <c r="BA103" s="1705">
        <f t="shared" si="234"/>
        <v>0</v>
      </c>
      <c r="BB103" s="1705">
        <f t="shared" si="234"/>
        <v>0</v>
      </c>
      <c r="BC103" s="1705">
        <f t="shared" si="234"/>
        <v>0</v>
      </c>
      <c r="BD103" s="1705">
        <f t="shared" si="234"/>
        <v>0</v>
      </c>
      <c r="BE103" s="1705">
        <f t="shared" si="234"/>
        <v>0</v>
      </c>
      <c r="BF103" s="1712">
        <f t="shared" si="148"/>
        <v>0</v>
      </c>
      <c r="BG103" s="1712">
        <f t="shared" si="148"/>
        <v>0</v>
      </c>
      <c r="BH103" s="1712" t="e">
        <f t="shared" si="148"/>
        <v>#DIV/0!</v>
      </c>
      <c r="BI103" s="1712" t="e">
        <f t="shared" si="148"/>
        <v>#DIV/0!</v>
      </c>
      <c r="BJ103" s="1705">
        <f t="shared" si="199"/>
        <v>5710490329.6093292</v>
      </c>
      <c r="BK103" s="1715">
        <f t="shared" si="200"/>
        <v>2275100329.6093292</v>
      </c>
      <c r="BL103" s="1716">
        <f t="shared" si="194"/>
        <v>0.39840717666795789</v>
      </c>
      <c r="BM103" s="1715">
        <f t="shared" si="195"/>
        <v>1555767305.7997379</v>
      </c>
      <c r="BN103" s="1717">
        <f t="shared" si="180"/>
        <v>0.27244023122374716</v>
      </c>
      <c r="BO103" s="1705"/>
      <c r="BP103" s="1718"/>
      <c r="BQ103" s="1719"/>
      <c r="BR103" s="1720"/>
    </row>
    <row r="104" spans="1:70" ht="51" customHeight="1" thickBot="1">
      <c r="A104" s="1605" t="s">
        <v>2418</v>
      </c>
      <c r="B104" s="1605"/>
      <c r="C104" s="1606"/>
      <c r="D104" s="1606"/>
      <c r="E104" s="1607"/>
      <c r="F104" s="1607"/>
      <c r="G104" s="1607"/>
      <c r="H104" s="1607"/>
      <c r="I104" s="1607"/>
      <c r="J104" s="1607"/>
      <c r="K104" s="1607"/>
      <c r="L104" s="1607"/>
      <c r="M104" s="1607"/>
      <c r="N104" s="1607"/>
      <c r="O104" s="1607"/>
      <c r="P104" s="1608">
        <f>+SUMPRODUCT(P105:P107,Z105:Z107)</f>
        <v>1</v>
      </c>
      <c r="Q104" s="1609">
        <f>+SUMPRODUCT(Q105:Q107,AA105:AA107)</f>
        <v>1</v>
      </c>
      <c r="R104" s="1610">
        <f>+SUMPRODUCT(R105:R107,AB105:AB107)</f>
        <v>0</v>
      </c>
      <c r="S104" s="1610">
        <f>+SUMPRODUCT(S105:S107,AC105:AC107)</f>
        <v>0</v>
      </c>
      <c r="T104" s="1611"/>
      <c r="U104" s="1605"/>
      <c r="V104" s="1612"/>
      <c r="W104" s="1613"/>
      <c r="X104" s="1608">
        <f>+SUMPRODUCT(X105:X107,Y105:Y107)</f>
        <v>0.5</v>
      </c>
      <c r="Y104" s="1609">
        <v>1</v>
      </c>
      <c r="Z104" s="1609">
        <v>1</v>
      </c>
      <c r="AA104" s="1609">
        <v>1</v>
      </c>
      <c r="AB104" s="1609">
        <v>1</v>
      </c>
      <c r="AC104" s="1609">
        <v>1</v>
      </c>
      <c r="AD104" s="1606">
        <f>SUM(AD105:AD107)</f>
        <v>1035100329.609329</v>
      </c>
      <c r="AE104" s="1606">
        <f>SUM(AE105:AE107)</f>
        <v>1240000000</v>
      </c>
      <c r="AF104" s="1606">
        <f t="shared" ref="AF104:AG104" si="235">SUM(AF105:AF107)</f>
        <v>1675800000</v>
      </c>
      <c r="AG104" s="1606">
        <f t="shared" si="235"/>
        <v>1759590000</v>
      </c>
      <c r="AH104" s="1606">
        <f>SUM(AH105:AH107)</f>
        <v>1035100329.609329</v>
      </c>
      <c r="AI104" s="1606">
        <f t="shared" ref="AI104:AK104" si="236">SUM(AI105:AI107)</f>
        <v>1240000000</v>
      </c>
      <c r="AJ104" s="1606">
        <f t="shared" si="236"/>
        <v>0</v>
      </c>
      <c r="AK104" s="1606">
        <f t="shared" si="236"/>
        <v>0</v>
      </c>
      <c r="AL104" s="1614">
        <f t="shared" si="146"/>
        <v>1</v>
      </c>
      <c r="AM104" s="1614">
        <f t="shared" si="146"/>
        <v>1</v>
      </c>
      <c r="AN104" s="1614">
        <f t="shared" si="146"/>
        <v>0</v>
      </c>
      <c r="AO104" s="1614">
        <f t="shared" si="146"/>
        <v>0</v>
      </c>
      <c r="AP104" s="1606">
        <f>SUM(AP105:AP107)</f>
        <v>814834855.02973795</v>
      </c>
      <c r="AQ104" s="1615">
        <f>SUM(AQ105:AQ107)</f>
        <v>740932450.76999998</v>
      </c>
      <c r="AR104" s="1615">
        <f t="shared" ref="AR104:AS104" si="237">SUM(AR105:AR106)</f>
        <v>0</v>
      </c>
      <c r="AS104" s="1615">
        <f t="shared" si="237"/>
        <v>0</v>
      </c>
      <c r="AT104" s="1614">
        <f t="shared" si="147"/>
        <v>0.78720374414070149</v>
      </c>
      <c r="AU104" s="1614">
        <f t="shared" si="147"/>
        <v>0.59752616997580643</v>
      </c>
      <c r="AV104" s="1614">
        <f t="shared" si="147"/>
        <v>0</v>
      </c>
      <c r="AW104" s="1614">
        <f t="shared" si="147"/>
        <v>0</v>
      </c>
      <c r="AX104" s="1606">
        <f t="shared" ref="AX104:BE104" si="238">SUM(AX105:AX107)</f>
        <v>220265474.57959098</v>
      </c>
      <c r="AY104" s="1606">
        <f t="shared" si="238"/>
        <v>499067549.23000002</v>
      </c>
      <c r="AZ104" s="1606">
        <f t="shared" si="238"/>
        <v>0</v>
      </c>
      <c r="BA104" s="1606">
        <f t="shared" si="238"/>
        <v>0</v>
      </c>
      <c r="BB104" s="1606">
        <f t="shared" si="238"/>
        <v>0</v>
      </c>
      <c r="BC104" s="1606">
        <f t="shared" si="238"/>
        <v>0</v>
      </c>
      <c r="BD104" s="1606">
        <f t="shared" si="238"/>
        <v>0</v>
      </c>
      <c r="BE104" s="1606">
        <f t="shared" si="238"/>
        <v>0</v>
      </c>
      <c r="BF104" s="1609">
        <f t="shared" si="148"/>
        <v>0</v>
      </c>
      <c r="BG104" s="1609">
        <f t="shared" si="148"/>
        <v>0</v>
      </c>
      <c r="BH104" s="1609" t="e">
        <f t="shared" si="148"/>
        <v>#DIV/0!</v>
      </c>
      <c r="BI104" s="1609" t="e">
        <f t="shared" si="148"/>
        <v>#DIV/0!</v>
      </c>
      <c r="BJ104" s="1606">
        <f t="shared" si="199"/>
        <v>5710490329.6093292</v>
      </c>
      <c r="BK104" s="1616">
        <f t="shared" si="200"/>
        <v>2275100329.6093292</v>
      </c>
      <c r="BL104" s="1617">
        <f t="shared" si="194"/>
        <v>0.39840717666795789</v>
      </c>
      <c r="BM104" s="1616">
        <f t="shared" si="195"/>
        <v>1555767305.7997379</v>
      </c>
      <c r="BN104" s="1618">
        <f t="shared" si="180"/>
        <v>0.27244023122374716</v>
      </c>
      <c r="BO104" s="1606"/>
      <c r="BP104" s="1721"/>
      <c r="BQ104" s="1722"/>
      <c r="BR104" s="1620"/>
    </row>
    <row r="105" spans="1:70" ht="51" customHeight="1" thickBot="1">
      <c r="A105" s="1723" t="s">
        <v>616</v>
      </c>
      <c r="B105" s="1724" t="s">
        <v>2419</v>
      </c>
      <c r="C105" s="1025" t="s">
        <v>2181</v>
      </c>
      <c r="D105" s="1725">
        <v>1</v>
      </c>
      <c r="E105" s="1726">
        <v>1</v>
      </c>
      <c r="F105" s="1726">
        <v>1</v>
      </c>
      <c r="G105" s="1727">
        <v>1</v>
      </c>
      <c r="H105" s="1627">
        <v>1</v>
      </c>
      <c r="I105" s="1030">
        <v>1</v>
      </c>
      <c r="J105" s="1030"/>
      <c r="K105" s="1030"/>
      <c r="L105" s="1030"/>
      <c r="M105" s="1031"/>
      <c r="N105" s="1031"/>
      <c r="O105" s="1031"/>
      <c r="P105" s="1032">
        <f t="shared" ref="P105:S107" si="239">IF((H105+L105)/D105&gt;=100%,100%,(H105+L105)/D105)</f>
        <v>1</v>
      </c>
      <c r="Q105" s="1032">
        <f t="shared" si="239"/>
        <v>1</v>
      </c>
      <c r="R105" s="1032">
        <f t="shared" si="239"/>
        <v>0</v>
      </c>
      <c r="S105" s="1032">
        <f t="shared" si="239"/>
        <v>0</v>
      </c>
      <c r="T105" s="1628" t="s">
        <v>2420</v>
      </c>
      <c r="U105" s="1034">
        <v>46022</v>
      </c>
      <c r="V105" s="1035">
        <f t="shared" ref="V105:V107" si="240">SUM(D105:G105)</f>
        <v>4</v>
      </c>
      <c r="W105" s="1035">
        <f t="shared" ref="W105:W107" si="241">SUM(H105:N105)</f>
        <v>2</v>
      </c>
      <c r="X105" s="1279">
        <f t="shared" ref="X105:X107" si="242">IF(W105/V105&gt;=100%,100%,W105/V105)</f>
        <v>0.5</v>
      </c>
      <c r="Y105" s="1037">
        <v>0.45</v>
      </c>
      <c r="Z105" s="1037">
        <v>0.45</v>
      </c>
      <c r="AA105" s="1037">
        <v>0.45</v>
      </c>
      <c r="AB105" s="1037">
        <v>0.45</v>
      </c>
      <c r="AC105" s="1037">
        <v>0.45</v>
      </c>
      <c r="AD105" s="1137">
        <f>409806250+(130700329.609329/3)</f>
        <v>453373026.536443</v>
      </c>
      <c r="AE105" s="1137">
        <v>560000000</v>
      </c>
      <c r="AF105" s="1137">
        <v>759346875</v>
      </c>
      <c r="AG105" s="1137">
        <v>797314218.75</v>
      </c>
      <c r="AH105" s="1049">
        <f>409806250+(130700329.609329/3)</f>
        <v>453373026.536443</v>
      </c>
      <c r="AI105" s="1137">
        <v>560000000</v>
      </c>
      <c r="AJ105" s="1049"/>
      <c r="AK105" s="1049"/>
      <c r="AL105" s="1039">
        <f t="shared" si="146"/>
        <v>1</v>
      </c>
      <c r="AM105" s="1039">
        <f t="shared" si="146"/>
        <v>1</v>
      </c>
      <c r="AN105" s="1039">
        <f t="shared" si="146"/>
        <v>0</v>
      </c>
      <c r="AO105" s="1039">
        <f t="shared" si="146"/>
        <v>0</v>
      </c>
      <c r="AP105" s="1138">
        <f>307305000+(107529855.029738/3)</f>
        <v>343148285.00991267</v>
      </c>
      <c r="AQ105" s="1041">
        <v>181613019.78</v>
      </c>
      <c r="AR105" s="1552"/>
      <c r="AS105" s="1042"/>
      <c r="AT105" s="1043">
        <f t="shared" si="147"/>
        <v>0.75687847517397411</v>
      </c>
      <c r="AU105" s="1043">
        <f t="shared" si="147"/>
        <v>0.32430896389285713</v>
      </c>
      <c r="AV105" s="1043">
        <f t="shared" si="147"/>
        <v>0</v>
      </c>
      <c r="AW105" s="1043">
        <f t="shared" si="147"/>
        <v>0</v>
      </c>
      <c r="AX105" s="1044">
        <f t="shared" ref="AX105:BA107" si="243">+AH105-AP105</f>
        <v>110224741.52653033</v>
      </c>
      <c r="AY105" s="1044">
        <f t="shared" si="243"/>
        <v>378386980.22000003</v>
      </c>
      <c r="AZ105" s="1044">
        <f t="shared" si="243"/>
        <v>0</v>
      </c>
      <c r="BA105" s="1044">
        <f t="shared" si="243"/>
        <v>0</v>
      </c>
      <c r="BB105" s="1049"/>
      <c r="BC105" s="1049"/>
      <c r="BD105" s="1049"/>
      <c r="BE105" s="1049"/>
      <c r="BF105" s="1045">
        <f t="shared" si="148"/>
        <v>0</v>
      </c>
      <c r="BG105" s="1045">
        <f t="shared" si="148"/>
        <v>0</v>
      </c>
      <c r="BH105" s="1045" t="e">
        <f t="shared" si="148"/>
        <v>#DIV/0!</v>
      </c>
      <c r="BI105" s="1045" t="e">
        <f t="shared" si="148"/>
        <v>#DIV/0!</v>
      </c>
      <c r="BJ105" s="1049">
        <f t="shared" si="199"/>
        <v>2570034120.2864428</v>
      </c>
      <c r="BK105" s="1141">
        <f t="shared" si="200"/>
        <v>1013373026.536443</v>
      </c>
      <c r="BL105" s="1142">
        <f t="shared" si="194"/>
        <v>0.39430333571738635</v>
      </c>
      <c r="BM105" s="1141">
        <f t="shared" si="195"/>
        <v>524761304.7899127</v>
      </c>
      <c r="BN105" s="1143">
        <f t="shared" si="180"/>
        <v>0.20418456729727211</v>
      </c>
      <c r="BO105" s="1049" t="s">
        <v>2375</v>
      </c>
      <c r="BP105" s="1409" t="s">
        <v>2376</v>
      </c>
      <c r="BQ105" s="1728" t="s">
        <v>2193</v>
      </c>
      <c r="BR105" s="1348" t="s">
        <v>596</v>
      </c>
    </row>
    <row r="106" spans="1:70" ht="51" customHeight="1" thickBot="1">
      <c r="A106" s="1654" t="s">
        <v>617</v>
      </c>
      <c r="B106" s="1655" t="s">
        <v>2421</v>
      </c>
      <c r="C106" s="1055" t="s">
        <v>2181</v>
      </c>
      <c r="D106" s="1656">
        <v>1</v>
      </c>
      <c r="E106" s="1657">
        <v>1</v>
      </c>
      <c r="F106" s="1657">
        <v>1</v>
      </c>
      <c r="G106" s="1658">
        <v>1</v>
      </c>
      <c r="H106" s="1659">
        <v>1</v>
      </c>
      <c r="I106" s="1060">
        <v>1</v>
      </c>
      <c r="J106" s="1060"/>
      <c r="K106" s="1060"/>
      <c r="L106" s="1060"/>
      <c r="M106" s="1061"/>
      <c r="N106" s="1061"/>
      <c r="O106" s="1061"/>
      <c r="P106" s="1062">
        <f t="shared" si="239"/>
        <v>1</v>
      </c>
      <c r="Q106" s="1238">
        <f t="shared" si="239"/>
        <v>1</v>
      </c>
      <c r="R106" s="1062"/>
      <c r="S106" s="1062"/>
      <c r="T106" s="1729" t="s">
        <v>2422</v>
      </c>
      <c r="U106" s="1034">
        <v>46022</v>
      </c>
      <c r="V106" s="1035">
        <f t="shared" si="240"/>
        <v>4</v>
      </c>
      <c r="W106" s="1035">
        <f t="shared" si="241"/>
        <v>2</v>
      </c>
      <c r="X106" s="1279">
        <f t="shared" si="242"/>
        <v>0.5</v>
      </c>
      <c r="Y106" s="1065">
        <v>0.45</v>
      </c>
      <c r="Z106" s="1065">
        <v>0.45</v>
      </c>
      <c r="AA106" s="1065">
        <v>0.45</v>
      </c>
      <c r="AB106" s="1065">
        <v>0.45</v>
      </c>
      <c r="AC106" s="1065">
        <v>0.45</v>
      </c>
      <c r="AD106" s="1066">
        <f>409806250+(130700329.609329/3)</f>
        <v>453373026.536443</v>
      </c>
      <c r="AE106" s="1137">
        <v>560000000</v>
      </c>
      <c r="AF106" s="1137">
        <v>759346875</v>
      </c>
      <c r="AG106" s="1137">
        <v>797314218.75</v>
      </c>
      <c r="AH106" s="1075">
        <f>409806250+(130700329.609329/3)</f>
        <v>453373026.536443</v>
      </c>
      <c r="AI106" s="1137">
        <v>560000000</v>
      </c>
      <c r="AJ106" s="1137"/>
      <c r="AK106" s="1137"/>
      <c r="AL106" s="1173">
        <f t="shared" si="146"/>
        <v>1</v>
      </c>
      <c r="AM106" s="1173">
        <f t="shared" si="146"/>
        <v>1</v>
      </c>
      <c r="AN106" s="1173">
        <f t="shared" si="146"/>
        <v>0</v>
      </c>
      <c r="AO106" s="1173">
        <f t="shared" si="146"/>
        <v>0</v>
      </c>
      <c r="AP106" s="1087">
        <f>400000000+(107529855.029738/3)</f>
        <v>435843285.00991267</v>
      </c>
      <c r="AQ106" s="1139">
        <v>548883019.77999997</v>
      </c>
      <c r="AR106" s="1560"/>
      <c r="AS106" s="1069"/>
      <c r="AT106" s="1140">
        <f t="shared" si="147"/>
        <v>0.96133483797999775</v>
      </c>
      <c r="AU106" s="1140">
        <f t="shared" si="147"/>
        <v>0.98014824960714275</v>
      </c>
      <c r="AV106" s="1140">
        <f t="shared" si="147"/>
        <v>0</v>
      </c>
      <c r="AW106" s="1140">
        <f t="shared" si="147"/>
        <v>0</v>
      </c>
      <c r="AX106" s="1044">
        <f t="shared" si="243"/>
        <v>17529741.526530325</v>
      </c>
      <c r="AY106" s="1044">
        <f t="shared" si="243"/>
        <v>11116980.220000029</v>
      </c>
      <c r="AZ106" s="1044">
        <f t="shared" si="243"/>
        <v>0</v>
      </c>
      <c r="BA106" s="1044">
        <f t="shared" si="243"/>
        <v>0</v>
      </c>
      <c r="BB106" s="1075"/>
      <c r="BC106" s="1075"/>
      <c r="BD106" s="1075"/>
      <c r="BE106" s="1075"/>
      <c r="BF106" s="1071">
        <f t="shared" si="148"/>
        <v>0</v>
      </c>
      <c r="BG106" s="1071">
        <f t="shared" si="148"/>
        <v>0</v>
      </c>
      <c r="BH106" s="1071" t="e">
        <f t="shared" si="148"/>
        <v>#DIV/0!</v>
      </c>
      <c r="BI106" s="1071" t="e">
        <f t="shared" si="148"/>
        <v>#DIV/0!</v>
      </c>
      <c r="BJ106" s="1075">
        <f t="shared" si="199"/>
        <v>2570034120.2864428</v>
      </c>
      <c r="BK106" s="1091">
        <f t="shared" si="200"/>
        <v>1013373026.536443</v>
      </c>
      <c r="BL106" s="1092">
        <f t="shared" si="194"/>
        <v>0.39430333571738635</v>
      </c>
      <c r="BM106" s="1091">
        <f t="shared" si="195"/>
        <v>984726304.7899127</v>
      </c>
      <c r="BN106" s="1093">
        <f t="shared" si="180"/>
        <v>0.38315689936449565</v>
      </c>
      <c r="BO106" s="1049" t="s">
        <v>2375</v>
      </c>
      <c r="BP106" s="1321" t="s">
        <v>2376</v>
      </c>
      <c r="BQ106" s="1730" t="s">
        <v>2193</v>
      </c>
      <c r="BR106" s="1670" t="s">
        <v>596</v>
      </c>
    </row>
    <row r="107" spans="1:70" ht="51" customHeight="1" thickBot="1">
      <c r="A107" s="1731" t="s">
        <v>619</v>
      </c>
      <c r="B107" s="1732" t="s">
        <v>2423</v>
      </c>
      <c r="C107" s="1152" t="s">
        <v>2181</v>
      </c>
      <c r="D107" s="1682">
        <v>1</v>
      </c>
      <c r="E107" s="1683">
        <v>1</v>
      </c>
      <c r="F107" s="1683">
        <v>1</v>
      </c>
      <c r="G107" s="1684">
        <v>1</v>
      </c>
      <c r="H107" s="1634">
        <v>1</v>
      </c>
      <c r="I107" s="1182">
        <v>1</v>
      </c>
      <c r="J107" s="1182"/>
      <c r="K107" s="1182"/>
      <c r="L107" s="1182"/>
      <c r="M107" s="1101"/>
      <c r="N107" s="1101"/>
      <c r="O107" s="1101"/>
      <c r="P107" s="1102">
        <f t="shared" si="239"/>
        <v>1</v>
      </c>
      <c r="Q107" s="1238">
        <f t="shared" si="239"/>
        <v>1</v>
      </c>
      <c r="R107" s="1102"/>
      <c r="S107" s="1102"/>
      <c r="T107" s="1686" t="s">
        <v>2424</v>
      </c>
      <c r="U107" s="1034">
        <v>46022</v>
      </c>
      <c r="V107" s="1035">
        <f t="shared" si="240"/>
        <v>4</v>
      </c>
      <c r="W107" s="1035">
        <f t="shared" si="241"/>
        <v>2</v>
      </c>
      <c r="X107" s="1279">
        <f t="shared" si="242"/>
        <v>0.5</v>
      </c>
      <c r="Y107" s="1104">
        <v>0.1</v>
      </c>
      <c r="Z107" s="1104">
        <v>0.1</v>
      </c>
      <c r="AA107" s="1104">
        <v>0.1</v>
      </c>
      <c r="AB107" s="1104">
        <v>0.1</v>
      </c>
      <c r="AC107" s="1104">
        <v>0.1</v>
      </c>
      <c r="AD107" s="1106">
        <f>84787500+(130700329.609329/3)</f>
        <v>128354276.536443</v>
      </c>
      <c r="AE107" s="1106">
        <v>120000000</v>
      </c>
      <c r="AF107" s="1106">
        <v>157106250</v>
      </c>
      <c r="AG107" s="1106">
        <v>164961562.5</v>
      </c>
      <c r="AH107" s="1113">
        <f>84787500+(130700329.609329/3)</f>
        <v>128354276.536443</v>
      </c>
      <c r="AI107" s="1106">
        <v>120000000</v>
      </c>
      <c r="AJ107" s="1106"/>
      <c r="AK107" s="1106"/>
      <c r="AL107" s="1295">
        <f t="shared" si="146"/>
        <v>1</v>
      </c>
      <c r="AM107" s="1295">
        <f t="shared" si="146"/>
        <v>1</v>
      </c>
      <c r="AN107" s="1295">
        <f t="shared" si="146"/>
        <v>0</v>
      </c>
      <c r="AO107" s="1295">
        <f t="shared" si="146"/>
        <v>0</v>
      </c>
      <c r="AP107" s="1109">
        <f>+(107529855.029738/3)</f>
        <v>35843285.009912662</v>
      </c>
      <c r="AQ107" s="1108">
        <v>10436411.210000001</v>
      </c>
      <c r="AR107" s="1567"/>
      <c r="AS107" s="1188"/>
      <c r="AT107" s="1189">
        <f t="shared" si="147"/>
        <v>0.27925275243739817</v>
      </c>
      <c r="AU107" s="1189">
        <f t="shared" si="147"/>
        <v>8.6970093416666672E-2</v>
      </c>
      <c r="AV107" s="1189">
        <f t="shared" si="147"/>
        <v>0</v>
      </c>
      <c r="AW107" s="1189">
        <f t="shared" si="147"/>
        <v>0</v>
      </c>
      <c r="AX107" s="1044">
        <f t="shared" si="243"/>
        <v>92510991.526530325</v>
      </c>
      <c r="AY107" s="1044">
        <f t="shared" si="243"/>
        <v>109563588.78999999</v>
      </c>
      <c r="AZ107" s="1044">
        <f t="shared" si="243"/>
        <v>0</v>
      </c>
      <c r="BA107" s="1044">
        <f t="shared" si="243"/>
        <v>0</v>
      </c>
      <c r="BB107" s="1113"/>
      <c r="BC107" s="1113"/>
      <c r="BD107" s="1113"/>
      <c r="BE107" s="1113"/>
      <c r="BF107" s="1190">
        <f t="shared" si="148"/>
        <v>0</v>
      </c>
      <c r="BG107" s="1190">
        <f t="shared" si="148"/>
        <v>0</v>
      </c>
      <c r="BH107" s="1190" t="e">
        <f t="shared" si="148"/>
        <v>#DIV/0!</v>
      </c>
      <c r="BI107" s="1190" t="e">
        <f t="shared" si="148"/>
        <v>#DIV/0!</v>
      </c>
      <c r="BJ107" s="1113">
        <f t="shared" si="199"/>
        <v>570422089.036443</v>
      </c>
      <c r="BK107" s="1484">
        <f t="shared" si="200"/>
        <v>248354276.536443</v>
      </c>
      <c r="BL107" s="1485">
        <f t="shared" si="194"/>
        <v>0.4353868500358446</v>
      </c>
      <c r="BM107" s="1484">
        <f t="shared" si="195"/>
        <v>46279696.219912663</v>
      </c>
      <c r="BN107" s="1486">
        <f t="shared" si="180"/>
        <v>8.1132370413790122E-2</v>
      </c>
      <c r="BO107" s="1049" t="s">
        <v>2375</v>
      </c>
      <c r="BP107" s="1435" t="s">
        <v>2376</v>
      </c>
      <c r="BQ107" s="1687" t="s">
        <v>2193</v>
      </c>
      <c r="BR107" s="1636" t="s">
        <v>596</v>
      </c>
    </row>
    <row r="108" spans="1:70" ht="51" customHeight="1">
      <c r="A108" s="1704" t="s">
        <v>2425</v>
      </c>
      <c r="B108" s="1704"/>
      <c r="C108" s="1705"/>
      <c r="D108" s="1705"/>
      <c r="E108" s="1706"/>
      <c r="F108" s="1706"/>
      <c r="G108" s="1706"/>
      <c r="H108" s="1706"/>
      <c r="I108" s="1706"/>
      <c r="J108" s="1706"/>
      <c r="K108" s="1706"/>
      <c r="L108" s="1706"/>
      <c r="M108" s="1706"/>
      <c r="N108" s="1706"/>
      <c r="O108" s="1706"/>
      <c r="P108" s="1707">
        <f>+(P109*Z109)</f>
        <v>1</v>
      </c>
      <c r="Q108" s="1707">
        <f>+(Q109*AA109)</f>
        <v>1</v>
      </c>
      <c r="R108" s="1708">
        <f>+(R109*AB109)</f>
        <v>0</v>
      </c>
      <c r="S108" s="1708">
        <f>+(S109*AC109)</f>
        <v>0</v>
      </c>
      <c r="T108" s="1709"/>
      <c r="U108" s="1704"/>
      <c r="V108" s="1710"/>
      <c r="W108" s="1711"/>
      <c r="X108" s="1707">
        <f>+(X109*Y109)</f>
        <v>0.5</v>
      </c>
      <c r="Y108" s="1712">
        <v>0.05</v>
      </c>
      <c r="Z108" s="1712">
        <v>0.05</v>
      </c>
      <c r="AA108" s="1712">
        <v>0.05</v>
      </c>
      <c r="AB108" s="1712">
        <v>0.05</v>
      </c>
      <c r="AC108" s="1712">
        <v>0.05</v>
      </c>
      <c r="AD108" s="1705">
        <f>+AD109</f>
        <v>161734426.50145769</v>
      </c>
      <c r="AE108" s="1705">
        <f>+AE109</f>
        <v>200000000</v>
      </c>
      <c r="AF108" s="1705">
        <f t="shared" ref="AF108:AG108" si="244">+AF109</f>
        <v>261843750</v>
      </c>
      <c r="AG108" s="1705">
        <f t="shared" si="244"/>
        <v>274935937.5</v>
      </c>
      <c r="AH108" s="1705">
        <f>+AH109</f>
        <v>161734426.50145769</v>
      </c>
      <c r="AI108" s="1705">
        <f t="shared" ref="AI108:AK108" si="245">+AI109</f>
        <v>200000000</v>
      </c>
      <c r="AJ108" s="1705">
        <f t="shared" si="245"/>
        <v>0</v>
      </c>
      <c r="AK108" s="1705">
        <f t="shared" si="245"/>
        <v>0</v>
      </c>
      <c r="AL108" s="1713">
        <f t="shared" si="146"/>
        <v>1</v>
      </c>
      <c r="AM108" s="1713">
        <f t="shared" si="146"/>
        <v>1</v>
      </c>
      <c r="AN108" s="1713">
        <f t="shared" si="146"/>
        <v>0</v>
      </c>
      <c r="AO108" s="1713">
        <f t="shared" si="146"/>
        <v>0</v>
      </c>
      <c r="AP108" s="1705">
        <f>+AP109</f>
        <v>158114039.84839651</v>
      </c>
      <c r="AQ108" s="1714">
        <f t="shared" ref="AQ108:AS108" si="246">+AQ109</f>
        <v>197061484.40000001</v>
      </c>
      <c r="AR108" s="1714">
        <f t="shared" si="246"/>
        <v>0</v>
      </c>
      <c r="AS108" s="1714">
        <f t="shared" si="246"/>
        <v>0</v>
      </c>
      <c r="AT108" s="1713">
        <f t="shared" si="147"/>
        <v>0.97761523794670546</v>
      </c>
      <c r="AU108" s="1713">
        <f t="shared" si="147"/>
        <v>0.98530742199999999</v>
      </c>
      <c r="AV108" s="1713">
        <f t="shared" si="147"/>
        <v>0</v>
      </c>
      <c r="AW108" s="1713">
        <f t="shared" si="147"/>
        <v>0</v>
      </c>
      <c r="AX108" s="1705">
        <f t="shared" ref="AX108:BE108" si="247">+AX109</f>
        <v>3620386.6530611813</v>
      </c>
      <c r="AY108" s="1705">
        <f t="shared" si="247"/>
        <v>2938515.599999994</v>
      </c>
      <c r="AZ108" s="1705">
        <f t="shared" si="247"/>
        <v>0</v>
      </c>
      <c r="BA108" s="1705">
        <f t="shared" si="247"/>
        <v>0</v>
      </c>
      <c r="BB108" s="1705">
        <f t="shared" si="247"/>
        <v>0</v>
      </c>
      <c r="BC108" s="1705">
        <f t="shared" si="247"/>
        <v>0</v>
      </c>
      <c r="BD108" s="1705">
        <f t="shared" si="247"/>
        <v>0</v>
      </c>
      <c r="BE108" s="1705">
        <f t="shared" si="247"/>
        <v>0</v>
      </c>
      <c r="BF108" s="1712">
        <f t="shared" si="148"/>
        <v>0</v>
      </c>
      <c r="BG108" s="1712">
        <f t="shared" si="148"/>
        <v>0</v>
      </c>
      <c r="BH108" s="1712" t="e">
        <f t="shared" si="148"/>
        <v>#DIV/0!</v>
      </c>
      <c r="BI108" s="1712" t="e">
        <f t="shared" si="148"/>
        <v>#DIV/0!</v>
      </c>
      <c r="BJ108" s="1705">
        <f t="shared" si="199"/>
        <v>898514114.00145769</v>
      </c>
      <c r="BK108" s="1715">
        <f t="shared" si="200"/>
        <v>361734426.50145769</v>
      </c>
      <c r="BL108" s="1716">
        <f t="shared" si="194"/>
        <v>0.4025918133778707</v>
      </c>
      <c r="BM108" s="1715">
        <f t="shared" si="195"/>
        <v>355175524.24839652</v>
      </c>
      <c r="BN108" s="1717">
        <f t="shared" si="180"/>
        <v>0.39529209248216696</v>
      </c>
      <c r="BO108" s="1705"/>
      <c r="BP108" s="1718"/>
      <c r="BQ108" s="1720"/>
      <c r="BR108" s="1733"/>
    </row>
    <row r="109" spans="1:70" ht="51" customHeight="1" thickBot="1">
      <c r="A109" s="1605" t="s">
        <v>2426</v>
      </c>
      <c r="B109" s="1605"/>
      <c r="C109" s="1606"/>
      <c r="D109" s="1606"/>
      <c r="E109" s="1607"/>
      <c r="F109" s="1607"/>
      <c r="G109" s="1607"/>
      <c r="H109" s="1607"/>
      <c r="I109" s="1607"/>
      <c r="J109" s="1607"/>
      <c r="K109" s="1607"/>
      <c r="L109" s="1607"/>
      <c r="M109" s="1607"/>
      <c r="N109" s="1607"/>
      <c r="O109" s="1607"/>
      <c r="P109" s="1608">
        <f>+SUMPRODUCT(P110:P110,Z110:Z110)</f>
        <v>1</v>
      </c>
      <c r="Q109" s="1609">
        <f>+SUMPRODUCT(Q110:Q110,AA110:AA110)</f>
        <v>1</v>
      </c>
      <c r="R109" s="1610">
        <f>+SUMPRODUCT(R110:R110,AB110:AB110)</f>
        <v>0</v>
      </c>
      <c r="S109" s="1610">
        <f>+SUMPRODUCT(S110:S110,AC110:AC110)</f>
        <v>0</v>
      </c>
      <c r="T109" s="1611"/>
      <c r="U109" s="1605"/>
      <c r="V109" s="1612"/>
      <c r="W109" s="1613"/>
      <c r="X109" s="1608">
        <f>+SUMPRODUCT(X110:X110,Y110:Y110)</f>
        <v>0.5</v>
      </c>
      <c r="Y109" s="1609">
        <v>1</v>
      </c>
      <c r="Z109" s="1609">
        <v>1</v>
      </c>
      <c r="AA109" s="1609">
        <v>1</v>
      </c>
      <c r="AB109" s="1609">
        <v>1</v>
      </c>
      <c r="AC109" s="1609">
        <v>1</v>
      </c>
      <c r="AD109" s="1606">
        <f>SUM(AD110:AD110)</f>
        <v>161734426.50145769</v>
      </c>
      <c r="AE109" s="1606">
        <f>SUM(AE110:AE110)</f>
        <v>200000000</v>
      </c>
      <c r="AF109" s="1606">
        <f t="shared" ref="AF109:AG109" si="248">SUM(AF110:AF110)</f>
        <v>261843750</v>
      </c>
      <c r="AG109" s="1606">
        <f t="shared" si="248"/>
        <v>274935937.5</v>
      </c>
      <c r="AH109" s="1606">
        <f>SUM(AH110:AH110)</f>
        <v>161734426.50145769</v>
      </c>
      <c r="AI109" s="1606">
        <f t="shared" ref="AI109:AK109" si="249">SUM(AI110:AI110)</f>
        <v>200000000</v>
      </c>
      <c r="AJ109" s="1606">
        <f t="shared" si="249"/>
        <v>0</v>
      </c>
      <c r="AK109" s="1606">
        <f t="shared" si="249"/>
        <v>0</v>
      </c>
      <c r="AL109" s="1614">
        <f t="shared" si="146"/>
        <v>1</v>
      </c>
      <c r="AM109" s="1614">
        <f t="shared" si="146"/>
        <v>1</v>
      </c>
      <c r="AN109" s="1614">
        <f t="shared" si="146"/>
        <v>0</v>
      </c>
      <c r="AO109" s="1614">
        <f t="shared" si="146"/>
        <v>0</v>
      </c>
      <c r="AP109" s="1606">
        <f>SUM(AP110:AP110)</f>
        <v>158114039.84839651</v>
      </c>
      <c r="AQ109" s="1615">
        <f>SUM(AQ110)</f>
        <v>197061484.40000001</v>
      </c>
      <c r="AR109" s="1615">
        <f t="shared" ref="AR109:AS109" si="250">SUM(AR110:AR111)</f>
        <v>0</v>
      </c>
      <c r="AS109" s="1615">
        <f t="shared" si="250"/>
        <v>0</v>
      </c>
      <c r="AT109" s="1614">
        <f t="shared" si="147"/>
        <v>0.97761523794670546</v>
      </c>
      <c r="AU109" s="1614">
        <f t="shared" si="147"/>
        <v>0.98530742199999999</v>
      </c>
      <c r="AV109" s="1614">
        <f t="shared" si="147"/>
        <v>0</v>
      </c>
      <c r="AW109" s="1614">
        <f t="shared" si="147"/>
        <v>0</v>
      </c>
      <c r="AX109" s="1606">
        <f t="shared" ref="AX109:BE109" si="251">SUM(AX110:AX110)</f>
        <v>3620386.6530611813</v>
      </c>
      <c r="AY109" s="1606">
        <f t="shared" si="251"/>
        <v>2938515.599999994</v>
      </c>
      <c r="AZ109" s="1606">
        <f t="shared" si="251"/>
        <v>0</v>
      </c>
      <c r="BA109" s="1606">
        <f t="shared" si="251"/>
        <v>0</v>
      </c>
      <c r="BB109" s="1606">
        <f t="shared" si="251"/>
        <v>0</v>
      </c>
      <c r="BC109" s="1606">
        <f t="shared" si="251"/>
        <v>0</v>
      </c>
      <c r="BD109" s="1606">
        <f t="shared" si="251"/>
        <v>0</v>
      </c>
      <c r="BE109" s="1606">
        <f t="shared" si="251"/>
        <v>0</v>
      </c>
      <c r="BF109" s="1609">
        <f t="shared" si="148"/>
        <v>0</v>
      </c>
      <c r="BG109" s="1609">
        <f t="shared" si="148"/>
        <v>0</v>
      </c>
      <c r="BH109" s="1609" t="e">
        <f t="shared" si="148"/>
        <v>#DIV/0!</v>
      </c>
      <c r="BI109" s="1609" t="e">
        <f t="shared" si="148"/>
        <v>#DIV/0!</v>
      </c>
      <c r="BJ109" s="1606">
        <f t="shared" si="199"/>
        <v>898514114.00145769</v>
      </c>
      <c r="BK109" s="1616">
        <f t="shared" si="200"/>
        <v>361734426.50145769</v>
      </c>
      <c r="BL109" s="1617">
        <f t="shared" si="194"/>
        <v>0.4025918133778707</v>
      </c>
      <c r="BM109" s="1616">
        <f t="shared" si="195"/>
        <v>355175524.24839652</v>
      </c>
      <c r="BN109" s="1618">
        <f t="shared" si="180"/>
        <v>0.39529209248216696</v>
      </c>
      <c r="BO109" s="1606"/>
      <c r="BP109" s="1619"/>
      <c r="BQ109" s="1620"/>
      <c r="BR109" s="1621"/>
    </row>
    <row r="110" spans="1:70" ht="51" customHeight="1" thickBot="1">
      <c r="A110" s="1734" t="s">
        <v>620</v>
      </c>
      <c r="B110" s="1735" t="s">
        <v>2427</v>
      </c>
      <c r="C110" s="1454" t="s">
        <v>2181</v>
      </c>
      <c r="D110" s="1690">
        <v>1</v>
      </c>
      <c r="E110" s="1691">
        <v>1</v>
      </c>
      <c r="F110" s="1691">
        <v>1</v>
      </c>
      <c r="G110" s="1692">
        <v>1</v>
      </c>
      <c r="H110" s="1693">
        <v>1</v>
      </c>
      <c r="I110" s="1236">
        <v>1</v>
      </c>
      <c r="J110" s="1236"/>
      <c r="K110" s="1236"/>
      <c r="L110" s="1236"/>
      <c r="M110" s="1237"/>
      <c r="N110" s="1237"/>
      <c r="O110" s="1237"/>
      <c r="P110" s="1238">
        <f t="shared" ref="P110:S110" si="252">IF((H110+L110)/D110&gt;=100%,100%,(H110+L110)/D110)</f>
        <v>1</v>
      </c>
      <c r="Q110" s="1238">
        <f t="shared" si="252"/>
        <v>1</v>
      </c>
      <c r="R110" s="1238">
        <f t="shared" si="252"/>
        <v>0</v>
      </c>
      <c r="S110" s="1238">
        <f t="shared" si="252"/>
        <v>0</v>
      </c>
      <c r="T110" s="1694" t="s">
        <v>2428</v>
      </c>
      <c r="U110" s="1034">
        <v>46022</v>
      </c>
      <c r="V110" s="1035">
        <f>SUM(D110:G110)</f>
        <v>4</v>
      </c>
      <c r="W110" s="1035">
        <f>SUM(H110:N110)</f>
        <v>2</v>
      </c>
      <c r="X110" s="1700">
        <f t="shared" ref="X110" si="253">IF(W110/V110&gt;=100%,100%,W110/V110)</f>
        <v>0.5</v>
      </c>
      <c r="Y110" s="1241">
        <v>1</v>
      </c>
      <c r="Z110" s="1241">
        <v>1</v>
      </c>
      <c r="AA110" s="1241">
        <v>1</v>
      </c>
      <c r="AB110" s="1241">
        <v>1</v>
      </c>
      <c r="AC110" s="1241">
        <v>1</v>
      </c>
      <c r="AD110" s="1244">
        <f>141312500+20421926.5014577</f>
        <v>161734426.50145769</v>
      </c>
      <c r="AE110" s="1244">
        <v>200000000</v>
      </c>
      <c r="AF110" s="1244">
        <v>261843750</v>
      </c>
      <c r="AG110" s="1244">
        <v>274935937.5</v>
      </c>
      <c r="AH110" s="1460">
        <f>141312500+20421926.5014577</f>
        <v>161734426.50145769</v>
      </c>
      <c r="AI110" s="1244">
        <v>200000000</v>
      </c>
      <c r="AJ110" s="1244"/>
      <c r="AK110" s="1244"/>
      <c r="AL110" s="1245">
        <f t="shared" si="146"/>
        <v>1</v>
      </c>
      <c r="AM110" s="1245">
        <f t="shared" si="146"/>
        <v>1</v>
      </c>
      <c r="AN110" s="1245">
        <f t="shared" si="146"/>
        <v>0</v>
      </c>
      <c r="AO110" s="1245">
        <f t="shared" si="146"/>
        <v>0</v>
      </c>
      <c r="AP110" s="1246">
        <f>141312500+16801539.8483965</f>
        <v>158114039.84839651</v>
      </c>
      <c r="AQ110" s="1695">
        <v>197061484.40000001</v>
      </c>
      <c r="AR110" s="1568"/>
      <c r="AS110" s="1248"/>
      <c r="AT110" s="1249">
        <f t="shared" si="147"/>
        <v>0.97761523794670546</v>
      </c>
      <c r="AU110" s="1249">
        <f t="shared" si="147"/>
        <v>0.98530742199999999</v>
      </c>
      <c r="AV110" s="1249">
        <f t="shared" si="147"/>
        <v>0</v>
      </c>
      <c r="AW110" s="1249">
        <f t="shared" si="147"/>
        <v>0</v>
      </c>
      <c r="AX110" s="1044">
        <f t="shared" ref="AX110:BA110" si="254">+AH110-AP110</f>
        <v>3620386.6530611813</v>
      </c>
      <c r="AY110" s="1044">
        <f t="shared" si="254"/>
        <v>2938515.599999994</v>
      </c>
      <c r="AZ110" s="1044">
        <f t="shared" si="254"/>
        <v>0</v>
      </c>
      <c r="BA110" s="1044">
        <f t="shared" si="254"/>
        <v>0</v>
      </c>
      <c r="BB110" s="1460"/>
      <c r="BC110" s="1460"/>
      <c r="BD110" s="1460"/>
      <c r="BE110" s="1460"/>
      <c r="BF110" s="1251">
        <f t="shared" si="148"/>
        <v>0</v>
      </c>
      <c r="BG110" s="1251">
        <f t="shared" si="148"/>
        <v>0</v>
      </c>
      <c r="BH110" s="1251" t="e">
        <f t="shared" si="148"/>
        <v>#DIV/0!</v>
      </c>
      <c r="BI110" s="1251" t="e">
        <f t="shared" si="148"/>
        <v>#DIV/0!</v>
      </c>
      <c r="BJ110" s="1460">
        <f t="shared" si="199"/>
        <v>898514114.00145769</v>
      </c>
      <c r="BK110" s="1539">
        <f t="shared" si="200"/>
        <v>361734426.50145769</v>
      </c>
      <c r="BL110" s="1540">
        <f t="shared" si="194"/>
        <v>0.4025918133778707</v>
      </c>
      <c r="BM110" s="1539">
        <f t="shared" si="195"/>
        <v>355175524.24839652</v>
      </c>
      <c r="BN110" s="1541">
        <f t="shared" si="180"/>
        <v>0.39529209248216696</v>
      </c>
      <c r="BO110" s="1049" t="s">
        <v>2375</v>
      </c>
      <c r="BP110" s="1569" t="s">
        <v>2376</v>
      </c>
      <c r="BQ110" s="1701" t="s">
        <v>2193</v>
      </c>
      <c r="BR110" s="1697" t="s">
        <v>596</v>
      </c>
    </row>
    <row r="111" spans="1:70" ht="41.4" customHeight="1">
      <c r="A111" s="1736" t="s">
        <v>2429</v>
      </c>
      <c r="B111" s="1737"/>
      <c r="C111" s="1738"/>
      <c r="D111" s="1738"/>
      <c r="E111" s="1739"/>
      <c r="F111" s="1739"/>
      <c r="G111" s="1740"/>
      <c r="H111" s="1739"/>
      <c r="I111" s="1739"/>
      <c r="J111" s="1740"/>
      <c r="K111" s="1739"/>
      <c r="L111" s="1739"/>
      <c r="M111" s="1740"/>
      <c r="N111" s="1740"/>
      <c r="O111" s="1740"/>
      <c r="P111" s="1741">
        <f>+(P112*Z112)+(P118*Z118)+(P134*Z134)</f>
        <v>0.96567500000000006</v>
      </c>
      <c r="Q111" s="1741">
        <f>+(Q112*AA112)+(Q118*AA118)+(Q134*AA134)</f>
        <v>0.70240214285714275</v>
      </c>
      <c r="R111" s="1742" t="e">
        <f>+(R112*AB112)+(R118*AB118)+(R134*AB134)</f>
        <v>#DIV/0!</v>
      </c>
      <c r="S111" s="1742" t="e">
        <f>+(S112*AC112)+(S118*AC118)+(S134*AC134)</f>
        <v>#DIV/0!</v>
      </c>
      <c r="T111" s="1743"/>
      <c r="U111" s="1744"/>
      <c r="V111" s="1745"/>
      <c r="W111" s="1746"/>
      <c r="X111" s="1747">
        <f>+(X112*Y112)+(X118*Y118)+(X134*Y134)</f>
        <v>0.33202756097560976</v>
      </c>
      <c r="Y111" s="1748">
        <v>0.125</v>
      </c>
      <c r="Z111" s="1748">
        <f>+Y111</f>
        <v>0.125</v>
      </c>
      <c r="AA111" s="1748">
        <f>+Z111</f>
        <v>0.125</v>
      </c>
      <c r="AB111" s="1748">
        <f t="shared" ref="AB111:AC111" si="255">+AA111</f>
        <v>0.125</v>
      </c>
      <c r="AC111" s="1748">
        <f t="shared" si="255"/>
        <v>0.125</v>
      </c>
      <c r="AD111" s="1749">
        <f>+AD112+AD118+AD134</f>
        <v>4738240577</v>
      </c>
      <c r="AE111" s="1750">
        <f>+AE112+AE118+AE134</f>
        <v>9072215429</v>
      </c>
      <c r="AF111" s="1750">
        <f t="shared" ref="AF111:AG111" si="256">+AF112+AF118+AF134</f>
        <v>10178500000</v>
      </c>
      <c r="AG111" s="1750">
        <f t="shared" si="256"/>
        <v>9550000000</v>
      </c>
      <c r="AH111" s="1750">
        <f>+AH112+AH118+AH134</f>
        <v>4363590942.999999</v>
      </c>
      <c r="AI111" s="1750">
        <f t="shared" ref="AI111:AK111" si="257">+AI112+AI118+AI134</f>
        <v>6275365257.6599998</v>
      </c>
      <c r="AJ111" s="1750">
        <f t="shared" si="257"/>
        <v>0</v>
      </c>
      <c r="AK111" s="1750">
        <f t="shared" si="257"/>
        <v>0</v>
      </c>
      <c r="AL111" s="1741">
        <f t="shared" si="146"/>
        <v>0.92093064336610597</v>
      </c>
      <c r="AM111" s="1741">
        <f t="shared" si="146"/>
        <v>0.69171254880041055</v>
      </c>
      <c r="AN111" s="1741">
        <f t="shared" si="146"/>
        <v>0</v>
      </c>
      <c r="AO111" s="1741">
        <f t="shared" si="146"/>
        <v>0</v>
      </c>
      <c r="AP111" s="1750">
        <f>+AP112+AP118+AP134</f>
        <v>3450683533.9500017</v>
      </c>
      <c r="AQ111" s="1750">
        <f t="shared" ref="AQ111:AS111" si="258">+AQ112+AQ118+AQ134</f>
        <v>4706322787.6199999</v>
      </c>
      <c r="AR111" s="1749">
        <f t="shared" si="258"/>
        <v>0</v>
      </c>
      <c r="AS111" s="1749">
        <f t="shared" si="258"/>
        <v>0</v>
      </c>
      <c r="AT111" s="1741">
        <f t="shared" si="147"/>
        <v>0.72826262784123752</v>
      </c>
      <c r="AU111" s="1741">
        <f t="shared" si="147"/>
        <v>0.51876223888774675</v>
      </c>
      <c r="AV111" s="1741">
        <f t="shared" si="147"/>
        <v>0</v>
      </c>
      <c r="AW111" s="1741">
        <f t="shared" si="147"/>
        <v>0</v>
      </c>
      <c r="AX111" s="1749">
        <f t="shared" ref="AX111:BE111" si="259">+AX112+AX118+AX134</f>
        <v>912907409.04999852</v>
      </c>
      <c r="AY111" s="1749">
        <f t="shared" si="259"/>
        <v>1569042470.04</v>
      </c>
      <c r="AZ111" s="1749">
        <f t="shared" si="259"/>
        <v>0</v>
      </c>
      <c r="BA111" s="1749">
        <f t="shared" si="259"/>
        <v>0</v>
      </c>
      <c r="BB111" s="1749">
        <f t="shared" si="259"/>
        <v>0</v>
      </c>
      <c r="BC111" s="1749">
        <f t="shared" si="259"/>
        <v>0</v>
      </c>
      <c r="BD111" s="1749">
        <f t="shared" si="259"/>
        <v>0</v>
      </c>
      <c r="BE111" s="1749">
        <f t="shared" si="259"/>
        <v>0</v>
      </c>
      <c r="BF111" s="1748">
        <f t="shared" si="148"/>
        <v>0</v>
      </c>
      <c r="BG111" s="1748">
        <f t="shared" si="148"/>
        <v>0</v>
      </c>
      <c r="BH111" s="1748" t="e">
        <f t="shared" si="148"/>
        <v>#DIV/0!</v>
      </c>
      <c r="BI111" s="1748" t="e">
        <f t="shared" si="148"/>
        <v>#DIV/0!</v>
      </c>
      <c r="BJ111" s="1749">
        <f t="shared" si="199"/>
        <v>33538956006</v>
      </c>
      <c r="BK111" s="1750">
        <f t="shared" si="200"/>
        <v>10638956200.66</v>
      </c>
      <c r="BL111" s="1751">
        <f t="shared" si="194"/>
        <v>0.31721190721490344</v>
      </c>
      <c r="BM111" s="1750">
        <f t="shared" si="195"/>
        <v>8157006321.5700016</v>
      </c>
      <c r="BN111" s="1752">
        <f t="shared" si="180"/>
        <v>0.24320990552331867</v>
      </c>
      <c r="BO111" s="1749"/>
      <c r="BP111" s="1753"/>
      <c r="BQ111" s="1754"/>
      <c r="BR111" s="1755"/>
    </row>
    <row r="112" spans="1:70" ht="12.75" customHeight="1">
      <c r="A112" s="1756" t="s">
        <v>2430</v>
      </c>
      <c r="B112" s="1756"/>
      <c r="C112" s="1757"/>
      <c r="D112" s="1757"/>
      <c r="E112" s="1758"/>
      <c r="F112" s="1758"/>
      <c r="G112" s="1758"/>
      <c r="H112" s="1758"/>
      <c r="I112" s="1758"/>
      <c r="J112" s="1758"/>
      <c r="K112" s="1758"/>
      <c r="L112" s="1758"/>
      <c r="M112" s="1758"/>
      <c r="N112" s="1758"/>
      <c r="O112" s="1758"/>
      <c r="P112" s="1759">
        <f>+(P113*Z113)+(P116*Z116)</f>
        <v>1</v>
      </c>
      <c r="Q112" s="1759">
        <f>+(Q113*AA113)+(Q116*AA116)</f>
        <v>1</v>
      </c>
      <c r="R112" s="1760">
        <f>+(R113*AB113)+(R116*AB116)</f>
        <v>0</v>
      </c>
      <c r="S112" s="1760" t="e">
        <f>+(S113*AC113)+(S116*AC116)</f>
        <v>#DIV/0!</v>
      </c>
      <c r="T112" s="1761"/>
      <c r="U112" s="1756"/>
      <c r="V112" s="1762"/>
      <c r="W112" s="1763"/>
      <c r="X112" s="1764">
        <f>+(X113*Y113)+(X116*Y116)</f>
        <v>0.44000000000000006</v>
      </c>
      <c r="Y112" s="1765">
        <v>0.15</v>
      </c>
      <c r="Z112" s="1765">
        <v>0.15</v>
      </c>
      <c r="AA112" s="1765">
        <v>0.15</v>
      </c>
      <c r="AB112" s="1765">
        <v>0.15</v>
      </c>
      <c r="AC112" s="1765">
        <v>0.15</v>
      </c>
      <c r="AD112" s="1757">
        <f>+AD113+AD116</f>
        <v>903956206.395172</v>
      </c>
      <c r="AE112" s="1757">
        <f>+AE113+AE116</f>
        <v>1720565429</v>
      </c>
      <c r="AF112" s="1757">
        <f t="shared" ref="AF112:AG112" si="260">+AF113+AF116</f>
        <v>1757500000</v>
      </c>
      <c r="AG112" s="1757">
        <f t="shared" si="260"/>
        <v>1150000000</v>
      </c>
      <c r="AH112" s="1766">
        <f>+AH113+AH116</f>
        <v>567468391.06734395</v>
      </c>
      <c r="AI112" s="1766">
        <f t="shared" ref="AI112:AK112" si="261">+AI113+AI116</f>
        <v>1702741977</v>
      </c>
      <c r="AJ112" s="1766">
        <f t="shared" si="261"/>
        <v>0</v>
      </c>
      <c r="AK112" s="1766">
        <f t="shared" si="261"/>
        <v>0</v>
      </c>
      <c r="AL112" s="1759">
        <f t="shared" si="146"/>
        <v>0.62776093250171283</v>
      </c>
      <c r="AM112" s="1759">
        <f t="shared" si="146"/>
        <v>0.98964093332366965</v>
      </c>
      <c r="AN112" s="1759">
        <f t="shared" si="146"/>
        <v>0</v>
      </c>
      <c r="AO112" s="1759">
        <f t="shared" si="146"/>
        <v>0</v>
      </c>
      <c r="AP112" s="1757">
        <f t="shared" ref="AP112:AS112" si="262">+AP113+AP116</f>
        <v>422217987.91683602</v>
      </c>
      <c r="AQ112" s="1757">
        <f t="shared" si="262"/>
        <v>988431016.53999996</v>
      </c>
      <c r="AR112" s="1757">
        <f t="shared" si="262"/>
        <v>0</v>
      </c>
      <c r="AS112" s="1757">
        <f t="shared" si="262"/>
        <v>0</v>
      </c>
      <c r="AT112" s="1759">
        <f t="shared" si="147"/>
        <v>0.46707792360934342</v>
      </c>
      <c r="AU112" s="1759">
        <f t="shared" si="147"/>
        <v>0.57448034226427547</v>
      </c>
      <c r="AV112" s="1759">
        <f t="shared" si="147"/>
        <v>0</v>
      </c>
      <c r="AW112" s="1759">
        <f t="shared" si="147"/>
        <v>0</v>
      </c>
      <c r="AX112" s="1757">
        <f t="shared" ref="AX112:BE112" si="263">+AX113+AX116</f>
        <v>145250403.15050799</v>
      </c>
      <c r="AY112" s="1757">
        <f t="shared" si="263"/>
        <v>714310960.46000004</v>
      </c>
      <c r="AZ112" s="1757">
        <f t="shared" si="263"/>
        <v>0</v>
      </c>
      <c r="BA112" s="1757">
        <f t="shared" si="263"/>
        <v>0</v>
      </c>
      <c r="BB112" s="1757">
        <f t="shared" si="263"/>
        <v>0</v>
      </c>
      <c r="BC112" s="1757">
        <f t="shared" si="263"/>
        <v>0</v>
      </c>
      <c r="BD112" s="1757">
        <f t="shared" si="263"/>
        <v>0</v>
      </c>
      <c r="BE112" s="1757">
        <f t="shared" si="263"/>
        <v>0</v>
      </c>
      <c r="BF112" s="1765">
        <f t="shared" si="148"/>
        <v>0</v>
      </c>
      <c r="BG112" s="1765">
        <f t="shared" si="148"/>
        <v>0</v>
      </c>
      <c r="BH112" s="1765" t="e">
        <f t="shared" si="148"/>
        <v>#DIV/0!</v>
      </c>
      <c r="BI112" s="1765" t="e">
        <f t="shared" si="148"/>
        <v>#DIV/0!</v>
      </c>
      <c r="BJ112" s="1757">
        <f t="shared" si="199"/>
        <v>5532021635.3951721</v>
      </c>
      <c r="BK112" s="1766">
        <f t="shared" si="200"/>
        <v>2270210368.0673437</v>
      </c>
      <c r="BL112" s="1767">
        <f t="shared" si="194"/>
        <v>0.41037626345168376</v>
      </c>
      <c r="BM112" s="1766">
        <f t="shared" si="195"/>
        <v>1410649004.456836</v>
      </c>
      <c r="BN112" s="1768">
        <f t="shared" si="180"/>
        <v>0.25499701509321165</v>
      </c>
      <c r="BO112" s="1757"/>
      <c r="BP112" s="1769"/>
      <c r="BQ112" s="1770"/>
      <c r="BR112" s="1771"/>
    </row>
    <row r="113" spans="1:70" ht="12.75" customHeight="1" thickBot="1">
      <c r="A113" s="1772" t="s">
        <v>2431</v>
      </c>
      <c r="B113" s="1772"/>
      <c r="C113" s="1773"/>
      <c r="D113" s="1773"/>
      <c r="E113" s="1774"/>
      <c r="F113" s="1774"/>
      <c r="G113" s="1774"/>
      <c r="H113" s="1774"/>
      <c r="I113" s="1774"/>
      <c r="J113" s="1774"/>
      <c r="K113" s="1774"/>
      <c r="L113" s="1774"/>
      <c r="M113" s="1774"/>
      <c r="N113" s="1774"/>
      <c r="O113" s="1774"/>
      <c r="P113" s="1775">
        <f>+SUMPRODUCT(P114:P115,Z114:Z115)</f>
        <v>1</v>
      </c>
      <c r="Q113" s="1776">
        <f>+SUMPRODUCT(Q114:Q115,AA114:AA115)</f>
        <v>1</v>
      </c>
      <c r="R113" s="1777">
        <f>+SUMPRODUCT(R114:R115,AB114:AB115)</f>
        <v>0</v>
      </c>
      <c r="S113" s="1777" t="e">
        <f>+SUMPRODUCT(S114:S115,AC114:AC115)</f>
        <v>#DIV/0!</v>
      </c>
      <c r="T113" s="1778"/>
      <c r="U113" s="1772"/>
      <c r="V113" s="1779"/>
      <c r="W113" s="1780"/>
      <c r="X113" s="1775">
        <f>+SUMPRODUCT(X114:X115,Y114:Y115)</f>
        <v>0.42499999999999999</v>
      </c>
      <c r="Y113" s="1776">
        <v>0.8</v>
      </c>
      <c r="Z113" s="1776">
        <v>0.8</v>
      </c>
      <c r="AA113" s="1776">
        <v>0.8</v>
      </c>
      <c r="AB113" s="1776">
        <v>0.8</v>
      </c>
      <c r="AC113" s="1776">
        <v>0.8</v>
      </c>
      <c r="AD113" s="1773">
        <f>SUM(AD114:AD115)</f>
        <v>751706206.395172</v>
      </c>
      <c r="AE113" s="1773">
        <f>SUM(AE114:AE115)</f>
        <v>1515815429</v>
      </c>
      <c r="AF113" s="1773">
        <f t="shared" ref="AF113:AK113" si="264">SUM(AF114:AF115)</f>
        <v>1520000000</v>
      </c>
      <c r="AG113" s="1773">
        <f t="shared" si="264"/>
        <v>900000000</v>
      </c>
      <c r="AH113" s="1773">
        <f t="shared" si="264"/>
        <v>428306206.06734401</v>
      </c>
      <c r="AI113" s="1773">
        <f t="shared" si="264"/>
        <v>1500339622</v>
      </c>
      <c r="AJ113" s="1773">
        <f t="shared" si="264"/>
        <v>0</v>
      </c>
      <c r="AK113" s="1773">
        <f t="shared" si="264"/>
        <v>0</v>
      </c>
      <c r="AL113" s="1781">
        <f t="shared" si="146"/>
        <v>0.56977872794385764</v>
      </c>
      <c r="AM113" s="1781">
        <f t="shared" si="146"/>
        <v>0.98979044103660463</v>
      </c>
      <c r="AN113" s="1781">
        <f t="shared" si="146"/>
        <v>0</v>
      </c>
      <c r="AO113" s="1781">
        <f t="shared" si="146"/>
        <v>0</v>
      </c>
      <c r="AP113" s="1773">
        <f t="shared" ref="AP113:AS113" si="265">SUM(AP114:AP115)</f>
        <v>283387081.91683602</v>
      </c>
      <c r="AQ113" s="1773">
        <f t="shared" si="265"/>
        <v>797910917.59000003</v>
      </c>
      <c r="AR113" s="1773">
        <f t="shared" si="265"/>
        <v>0</v>
      </c>
      <c r="AS113" s="1773">
        <f t="shared" si="265"/>
        <v>0</v>
      </c>
      <c r="AT113" s="1781">
        <f t="shared" si="147"/>
        <v>0.37699180811054711</v>
      </c>
      <c r="AU113" s="1781">
        <f t="shared" si="147"/>
        <v>0.52639055014527103</v>
      </c>
      <c r="AV113" s="1781">
        <f t="shared" si="147"/>
        <v>0</v>
      </c>
      <c r="AW113" s="1781">
        <f t="shared" si="147"/>
        <v>0</v>
      </c>
      <c r="AX113" s="1773">
        <f t="shared" ref="AX113:BE113" si="266">SUM(AX114:AX115)</f>
        <v>144919124.15050799</v>
      </c>
      <c r="AY113" s="1773">
        <f t="shared" si="266"/>
        <v>702428704.40999997</v>
      </c>
      <c r="AZ113" s="1773">
        <f t="shared" si="266"/>
        <v>0</v>
      </c>
      <c r="BA113" s="1773">
        <f t="shared" si="266"/>
        <v>0</v>
      </c>
      <c r="BB113" s="1773">
        <f t="shared" si="266"/>
        <v>0</v>
      </c>
      <c r="BC113" s="1773">
        <f t="shared" si="266"/>
        <v>0</v>
      </c>
      <c r="BD113" s="1773">
        <f t="shared" si="266"/>
        <v>0</v>
      </c>
      <c r="BE113" s="1773">
        <f t="shared" si="266"/>
        <v>0</v>
      </c>
      <c r="BF113" s="1776">
        <f t="shared" si="148"/>
        <v>0</v>
      </c>
      <c r="BG113" s="1776">
        <f t="shared" si="148"/>
        <v>0</v>
      </c>
      <c r="BH113" s="1776" t="e">
        <f t="shared" si="148"/>
        <v>#DIV/0!</v>
      </c>
      <c r="BI113" s="1776" t="e">
        <f t="shared" si="148"/>
        <v>#DIV/0!</v>
      </c>
      <c r="BJ113" s="1773">
        <f t="shared" si="199"/>
        <v>4687521635.3951721</v>
      </c>
      <c r="BK113" s="1782">
        <f t="shared" si="200"/>
        <v>1928645828.067344</v>
      </c>
      <c r="BL113" s="1783">
        <f t="shared" si="194"/>
        <v>0.41144254428699895</v>
      </c>
      <c r="BM113" s="1782">
        <f t="shared" si="195"/>
        <v>1081297999.5068359</v>
      </c>
      <c r="BN113" s="1784">
        <f t="shared" si="180"/>
        <v>0.23067584186535264</v>
      </c>
      <c r="BO113" s="1773"/>
      <c r="BP113" s="1785"/>
      <c r="BQ113" s="1786"/>
      <c r="BR113" s="1787"/>
    </row>
    <row r="114" spans="1:70" ht="12.75" customHeight="1" thickBot="1">
      <c r="A114" s="1788" t="s">
        <v>2432</v>
      </c>
      <c r="B114" s="1789" t="s">
        <v>2433</v>
      </c>
      <c r="C114" s="1025" t="s">
        <v>2181</v>
      </c>
      <c r="D114" s="1790">
        <v>0</v>
      </c>
      <c r="E114" s="1791">
        <v>0</v>
      </c>
      <c r="F114" s="1791">
        <v>1</v>
      </c>
      <c r="G114" s="1792">
        <v>0</v>
      </c>
      <c r="H114" s="1627"/>
      <c r="I114" s="1030"/>
      <c r="J114" s="1030"/>
      <c r="K114" s="1030"/>
      <c r="L114" s="1030"/>
      <c r="M114" s="1031"/>
      <c r="N114" s="1031"/>
      <c r="O114" s="1031"/>
      <c r="P114" s="1032"/>
      <c r="Q114" s="1032"/>
      <c r="R114" s="1032">
        <f t="shared" ref="R114:S114" si="267">IF((J114+N114)/F114&gt;=100%,100%,(J114+N114)/F114)</f>
        <v>0</v>
      </c>
      <c r="S114" s="1032" t="e">
        <f t="shared" si="267"/>
        <v>#DIV/0!</v>
      </c>
      <c r="T114" s="1793"/>
      <c r="U114" s="1034">
        <v>46022</v>
      </c>
      <c r="V114" s="1035">
        <f t="shared" ref="V114:V115" si="268">SUM(D114:G114)</f>
        <v>1</v>
      </c>
      <c r="W114" s="1035">
        <f t="shared" ref="W114:W115" si="269">SUM(H114:N114)</f>
        <v>0</v>
      </c>
      <c r="X114" s="1279">
        <f t="shared" ref="X114:X115" si="270">IF(W114/V114&gt;=100%,100%,W114/V114)</f>
        <v>0</v>
      </c>
      <c r="Y114" s="1037">
        <v>0.15</v>
      </c>
      <c r="Z114" s="1037">
        <v>0</v>
      </c>
      <c r="AA114" s="1037">
        <v>0</v>
      </c>
      <c r="AB114" s="1037">
        <v>0</v>
      </c>
      <c r="AC114" s="1037">
        <v>0</v>
      </c>
      <c r="AD114" s="1137">
        <v>0</v>
      </c>
      <c r="AE114" s="1137">
        <v>0</v>
      </c>
      <c r="AF114" s="1137">
        <v>665000000</v>
      </c>
      <c r="AG114" s="1137">
        <v>0</v>
      </c>
      <c r="AH114" s="1049"/>
      <c r="AI114" s="1049"/>
      <c r="AJ114" s="1049"/>
      <c r="AK114" s="1049"/>
      <c r="AL114" s="1112" t="e">
        <f t="shared" si="146"/>
        <v>#DIV/0!</v>
      </c>
      <c r="AM114" s="1112" t="e">
        <f t="shared" si="146"/>
        <v>#DIV/0!</v>
      </c>
      <c r="AN114" s="1112">
        <f t="shared" si="146"/>
        <v>0</v>
      </c>
      <c r="AO114" s="1112" t="e">
        <f t="shared" si="146"/>
        <v>#DIV/0!</v>
      </c>
      <c r="AP114" s="1138"/>
      <c r="AQ114" s="1041"/>
      <c r="AR114" s="1552"/>
      <c r="AS114" s="1042"/>
      <c r="AT114" s="1140" t="e">
        <f t="shared" si="147"/>
        <v>#DIV/0!</v>
      </c>
      <c r="AU114" s="1140" t="e">
        <f t="shared" si="147"/>
        <v>#DIV/0!</v>
      </c>
      <c r="AV114" s="1140">
        <f t="shared" si="147"/>
        <v>0</v>
      </c>
      <c r="AW114" s="1140" t="e">
        <f t="shared" si="147"/>
        <v>#DIV/0!</v>
      </c>
      <c r="AX114" s="1044">
        <f t="shared" ref="AX114:BA115" si="271">+AH114-AP114</f>
        <v>0</v>
      </c>
      <c r="AY114" s="1044">
        <f t="shared" si="271"/>
        <v>0</v>
      </c>
      <c r="AZ114" s="1044">
        <f t="shared" si="271"/>
        <v>0</v>
      </c>
      <c r="BA114" s="1044">
        <f t="shared" si="271"/>
        <v>0</v>
      </c>
      <c r="BB114" s="1049"/>
      <c r="BC114" s="1049"/>
      <c r="BD114" s="1049"/>
      <c r="BE114" s="1049"/>
      <c r="BF114" s="1045" t="e">
        <f t="shared" si="148"/>
        <v>#DIV/0!</v>
      </c>
      <c r="BG114" s="1045" t="e">
        <f t="shared" si="148"/>
        <v>#DIV/0!</v>
      </c>
      <c r="BH114" s="1045" t="e">
        <f t="shared" si="148"/>
        <v>#DIV/0!</v>
      </c>
      <c r="BI114" s="1045" t="e">
        <f t="shared" si="148"/>
        <v>#DIV/0!</v>
      </c>
      <c r="BJ114" s="1049">
        <f t="shared" si="199"/>
        <v>665000000</v>
      </c>
      <c r="BK114" s="1141">
        <f t="shared" si="200"/>
        <v>0</v>
      </c>
      <c r="BL114" s="1142">
        <f t="shared" si="194"/>
        <v>0</v>
      </c>
      <c r="BM114" s="1141">
        <f t="shared" si="195"/>
        <v>0</v>
      </c>
      <c r="BN114" s="1143">
        <f t="shared" si="180"/>
        <v>0</v>
      </c>
      <c r="BO114" s="1049"/>
      <c r="BP114" s="1409" t="s">
        <v>2434</v>
      </c>
      <c r="BQ114" s="1794" t="s">
        <v>2193</v>
      </c>
      <c r="BR114" s="1469" t="s">
        <v>2190</v>
      </c>
    </row>
    <row r="115" spans="1:70" ht="12.75" customHeight="1" thickBot="1">
      <c r="A115" s="1795" t="s">
        <v>2435</v>
      </c>
      <c r="B115" s="1796" t="s">
        <v>2436</v>
      </c>
      <c r="C115" s="1152" t="s">
        <v>2181</v>
      </c>
      <c r="D115" s="1797">
        <v>1</v>
      </c>
      <c r="E115" s="1798">
        <v>1</v>
      </c>
      <c r="F115" s="1798">
        <v>1</v>
      </c>
      <c r="G115" s="1799">
        <v>1</v>
      </c>
      <c r="H115" s="1634">
        <v>0</v>
      </c>
      <c r="I115" s="1182">
        <v>1</v>
      </c>
      <c r="J115" s="1182"/>
      <c r="K115" s="1182"/>
      <c r="L115" s="1182">
        <v>1</v>
      </c>
      <c r="M115" s="1101"/>
      <c r="N115" s="1101"/>
      <c r="O115" s="1101"/>
      <c r="P115" s="1102">
        <f t="shared" ref="P115:S117" si="272">IF((H115+L115)/D115&gt;=100%,100%,(H115+L115)/D115)</f>
        <v>1</v>
      </c>
      <c r="Q115" s="1238">
        <f t="shared" si="272"/>
        <v>1</v>
      </c>
      <c r="R115" s="1102"/>
      <c r="S115" s="1102"/>
      <c r="T115" s="1686" t="s">
        <v>2437</v>
      </c>
      <c r="U115" s="1034">
        <v>46022</v>
      </c>
      <c r="V115" s="1035">
        <f t="shared" si="268"/>
        <v>4</v>
      </c>
      <c r="W115" s="1035">
        <f t="shared" si="269"/>
        <v>2</v>
      </c>
      <c r="X115" s="1279">
        <f t="shared" si="270"/>
        <v>0.5</v>
      </c>
      <c r="Y115" s="1104">
        <v>0.85</v>
      </c>
      <c r="Z115" s="1104">
        <v>1</v>
      </c>
      <c r="AA115" s="1104">
        <v>1</v>
      </c>
      <c r="AB115" s="1104">
        <v>1</v>
      </c>
      <c r="AC115" s="1104">
        <v>1</v>
      </c>
      <c r="AD115" s="1106">
        <f>470850000+280856206.395172</f>
        <v>751706206.395172</v>
      </c>
      <c r="AE115" s="1106">
        <v>1515815429</v>
      </c>
      <c r="AF115" s="1106">
        <v>855000000</v>
      </c>
      <c r="AG115" s="1106">
        <v>900000000</v>
      </c>
      <c r="AH115" s="1109">
        <f>147450000+280856206.067344</f>
        <v>428306206.06734401</v>
      </c>
      <c r="AI115" s="1109">
        <v>1500339622</v>
      </c>
      <c r="AJ115" s="1109"/>
      <c r="AK115" s="1109"/>
      <c r="AL115" s="1295">
        <f t="shared" si="146"/>
        <v>0.56977872794385764</v>
      </c>
      <c r="AM115" s="1295">
        <f t="shared" si="146"/>
        <v>0.98979044103660463</v>
      </c>
      <c r="AN115" s="1295">
        <f t="shared" si="146"/>
        <v>0</v>
      </c>
      <c r="AO115" s="1295">
        <f t="shared" si="146"/>
        <v>0</v>
      </c>
      <c r="AP115" s="1109">
        <f>24000000+259387081.916836</f>
        <v>283387081.91683602</v>
      </c>
      <c r="AQ115" s="1187">
        <v>797910917.59000003</v>
      </c>
      <c r="AR115" s="1567"/>
      <c r="AS115" s="1188"/>
      <c r="AT115" s="1189">
        <f t="shared" si="147"/>
        <v>0.37699180811054711</v>
      </c>
      <c r="AU115" s="1189">
        <f t="shared" si="147"/>
        <v>0.52639055014527103</v>
      </c>
      <c r="AV115" s="1189">
        <f t="shared" si="147"/>
        <v>0</v>
      </c>
      <c r="AW115" s="1189">
        <f t="shared" si="147"/>
        <v>0</v>
      </c>
      <c r="AX115" s="1044">
        <f t="shared" si="271"/>
        <v>144919124.15050799</v>
      </c>
      <c r="AY115" s="1044">
        <f t="shared" si="271"/>
        <v>702428704.40999997</v>
      </c>
      <c r="AZ115" s="1044">
        <f t="shared" si="271"/>
        <v>0</v>
      </c>
      <c r="BA115" s="1044">
        <f t="shared" si="271"/>
        <v>0</v>
      </c>
      <c r="BB115" s="1109"/>
      <c r="BC115" s="1109"/>
      <c r="BD115" s="1109"/>
      <c r="BE115" s="1109"/>
      <c r="BF115" s="1190">
        <f t="shared" si="148"/>
        <v>0</v>
      </c>
      <c r="BG115" s="1190">
        <f t="shared" si="148"/>
        <v>0</v>
      </c>
      <c r="BH115" s="1190" t="e">
        <f t="shared" si="148"/>
        <v>#DIV/0!</v>
      </c>
      <c r="BI115" s="1190" t="e">
        <f t="shared" si="148"/>
        <v>#DIV/0!</v>
      </c>
      <c r="BJ115" s="1109">
        <f t="shared" si="199"/>
        <v>4022521635.3951721</v>
      </c>
      <c r="BK115" s="1800">
        <f t="shared" si="200"/>
        <v>1928645828.067344</v>
      </c>
      <c r="BL115" s="1801">
        <f t="shared" si="194"/>
        <v>0.47946189054564875</v>
      </c>
      <c r="BM115" s="1800">
        <f t="shared" si="195"/>
        <v>1081297999.5068359</v>
      </c>
      <c r="BN115" s="1802">
        <f t="shared" si="180"/>
        <v>0.26881098413299381</v>
      </c>
      <c r="BO115" s="1113" t="s">
        <v>2438</v>
      </c>
      <c r="BP115" s="1435" t="s">
        <v>2434</v>
      </c>
      <c r="BQ115" s="1803" t="s">
        <v>2193</v>
      </c>
      <c r="BR115" s="1437" t="s">
        <v>2190</v>
      </c>
    </row>
    <row r="116" spans="1:70" ht="12.75" customHeight="1" thickBot="1">
      <c r="A116" s="1804" t="s">
        <v>2439</v>
      </c>
      <c r="B116" s="1804"/>
      <c r="C116" s="1805"/>
      <c r="D116" s="1805"/>
      <c r="E116" s="1806"/>
      <c r="F116" s="1806"/>
      <c r="G116" s="1806"/>
      <c r="H116" s="1806"/>
      <c r="I116" s="1806"/>
      <c r="J116" s="1806"/>
      <c r="K116" s="1806"/>
      <c r="L116" s="1806"/>
      <c r="M116" s="1806"/>
      <c r="N116" s="1806"/>
      <c r="O116" s="1806"/>
      <c r="P116" s="1807">
        <f>+SUMPRODUCT(P117:P117,Z117:Z117)</f>
        <v>1</v>
      </c>
      <c r="Q116" s="1808">
        <f>+SUMPRODUCT(Q117:Q117,AA117:AA117)</f>
        <v>1</v>
      </c>
      <c r="R116" s="1809">
        <f>+SUMPRODUCT(R117:R117,AB117:AB117)</f>
        <v>0</v>
      </c>
      <c r="S116" s="1809">
        <f>+SUMPRODUCT(S117:S117,AC117:AC117)</f>
        <v>0</v>
      </c>
      <c r="T116" s="1810"/>
      <c r="U116" s="1804"/>
      <c r="V116" s="1811"/>
      <c r="W116" s="1812"/>
      <c r="X116" s="1807">
        <f>+SUMPRODUCT(X117:X117,Y117:Y117)</f>
        <v>0.5</v>
      </c>
      <c r="Y116" s="1808">
        <v>0.2</v>
      </c>
      <c r="Z116" s="1808">
        <v>0.2</v>
      </c>
      <c r="AA116" s="1808">
        <v>0.2</v>
      </c>
      <c r="AB116" s="1808">
        <v>0.2</v>
      </c>
      <c r="AC116" s="1808">
        <v>0.2</v>
      </c>
      <c r="AD116" s="1805">
        <f>SUM(AD117)</f>
        <v>152250000</v>
      </c>
      <c r="AE116" s="1805">
        <f>SUM(AE117)</f>
        <v>204750000</v>
      </c>
      <c r="AF116" s="1805">
        <f t="shared" ref="AF116:AG116" si="273">SUM(AF117)</f>
        <v>237500000</v>
      </c>
      <c r="AG116" s="1805">
        <f t="shared" si="273"/>
        <v>250000000</v>
      </c>
      <c r="AH116" s="1805">
        <f>SUM(AH117)</f>
        <v>139162185</v>
      </c>
      <c r="AI116" s="1813">
        <f t="shared" ref="AI116:AK116" si="274">SUM(AI117)</f>
        <v>202402355</v>
      </c>
      <c r="AJ116" s="1813">
        <f t="shared" si="274"/>
        <v>0</v>
      </c>
      <c r="AK116" s="1813">
        <f t="shared" si="274"/>
        <v>0</v>
      </c>
      <c r="AL116" s="1814">
        <f t="shared" si="146"/>
        <v>0.91403733990147784</v>
      </c>
      <c r="AM116" s="1814">
        <f t="shared" si="146"/>
        <v>0.98853409035409034</v>
      </c>
      <c r="AN116" s="1814">
        <f t="shared" si="146"/>
        <v>0</v>
      </c>
      <c r="AO116" s="1814">
        <f t="shared" si="146"/>
        <v>0</v>
      </c>
      <c r="AP116" s="1805">
        <f t="shared" ref="AP116:AS116" si="275">SUM(AP117)</f>
        <v>138830906</v>
      </c>
      <c r="AQ116" s="1805">
        <f t="shared" si="275"/>
        <v>190520098.94999999</v>
      </c>
      <c r="AR116" s="1805">
        <f t="shared" si="275"/>
        <v>0</v>
      </c>
      <c r="AS116" s="1805">
        <f t="shared" si="275"/>
        <v>0</v>
      </c>
      <c r="AT116" s="1814">
        <f t="shared" si="147"/>
        <v>0.91186145155993437</v>
      </c>
      <c r="AU116" s="1814">
        <f t="shared" si="147"/>
        <v>0.93050109377289369</v>
      </c>
      <c r="AV116" s="1814">
        <f t="shared" si="147"/>
        <v>0</v>
      </c>
      <c r="AW116" s="1814">
        <f t="shared" si="147"/>
        <v>0</v>
      </c>
      <c r="AX116" s="1805">
        <f t="shared" ref="AX116:BE116" si="276">SUM(AX117)</f>
        <v>331279</v>
      </c>
      <c r="AY116" s="1805">
        <f t="shared" si="276"/>
        <v>11882256.050000012</v>
      </c>
      <c r="AZ116" s="1805">
        <f t="shared" si="276"/>
        <v>0</v>
      </c>
      <c r="BA116" s="1805">
        <f t="shared" si="276"/>
        <v>0</v>
      </c>
      <c r="BB116" s="1805">
        <f t="shared" si="276"/>
        <v>0</v>
      </c>
      <c r="BC116" s="1805">
        <f t="shared" si="276"/>
        <v>0</v>
      </c>
      <c r="BD116" s="1805">
        <f t="shared" si="276"/>
        <v>0</v>
      </c>
      <c r="BE116" s="1805">
        <f t="shared" si="276"/>
        <v>0</v>
      </c>
      <c r="BF116" s="1808">
        <f t="shared" si="148"/>
        <v>0</v>
      </c>
      <c r="BG116" s="1808">
        <f t="shared" si="148"/>
        <v>0</v>
      </c>
      <c r="BH116" s="1808" t="e">
        <f t="shared" si="148"/>
        <v>#DIV/0!</v>
      </c>
      <c r="BI116" s="1808" t="e">
        <f t="shared" si="148"/>
        <v>#DIV/0!</v>
      </c>
      <c r="BJ116" s="1805">
        <f t="shared" si="199"/>
        <v>844500000</v>
      </c>
      <c r="BK116" s="1813">
        <f t="shared" si="200"/>
        <v>341564540</v>
      </c>
      <c r="BL116" s="1815">
        <f t="shared" si="194"/>
        <v>0.4044577146240379</v>
      </c>
      <c r="BM116" s="1813">
        <f t="shared" si="195"/>
        <v>329351004.94999999</v>
      </c>
      <c r="BN116" s="1816">
        <f t="shared" si="180"/>
        <v>0.38999526933096507</v>
      </c>
      <c r="BO116" s="1805"/>
      <c r="BP116" s="1817"/>
      <c r="BQ116" s="1818"/>
      <c r="BR116" s="1819"/>
    </row>
    <row r="117" spans="1:70" ht="12.75" customHeight="1" thickBot="1">
      <c r="A117" s="1820" t="s">
        <v>621</v>
      </c>
      <c r="B117" s="1821" t="s">
        <v>2440</v>
      </c>
      <c r="C117" s="1822" t="s">
        <v>2181</v>
      </c>
      <c r="D117" s="1823">
        <v>23</v>
      </c>
      <c r="E117" s="1824">
        <v>23</v>
      </c>
      <c r="F117" s="1824">
        <v>23</v>
      </c>
      <c r="G117" s="1825">
        <v>23</v>
      </c>
      <c r="H117" s="1693">
        <v>23</v>
      </c>
      <c r="I117" s="1236">
        <v>23</v>
      </c>
      <c r="J117" s="1236"/>
      <c r="K117" s="1236"/>
      <c r="L117" s="1236"/>
      <c r="M117" s="1237"/>
      <c r="N117" s="1237"/>
      <c r="O117" s="1237"/>
      <c r="P117" s="1238">
        <f t="shared" si="272"/>
        <v>1</v>
      </c>
      <c r="Q117" s="1238">
        <f t="shared" si="272"/>
        <v>1</v>
      </c>
      <c r="R117" s="1238">
        <f t="shared" si="272"/>
        <v>0</v>
      </c>
      <c r="S117" s="1238">
        <f t="shared" si="272"/>
        <v>0</v>
      </c>
      <c r="T117" s="1826" t="s">
        <v>2441</v>
      </c>
      <c r="U117" s="1034">
        <v>46022</v>
      </c>
      <c r="V117" s="1035">
        <f>SUM(D117:G117)</f>
        <v>92</v>
      </c>
      <c r="W117" s="1035">
        <f>SUM(H117:N117)</f>
        <v>46</v>
      </c>
      <c r="X117" s="1279">
        <f t="shared" ref="X117" si="277">IF(W117/V117&gt;=100%,100%,W117/V117)</f>
        <v>0.5</v>
      </c>
      <c r="Y117" s="1241">
        <v>1</v>
      </c>
      <c r="Z117" s="1241">
        <v>1</v>
      </c>
      <c r="AA117" s="1241">
        <v>1</v>
      </c>
      <c r="AB117" s="1241">
        <v>1</v>
      </c>
      <c r="AC117" s="1241">
        <v>1</v>
      </c>
      <c r="AD117" s="1244">
        <v>152250000</v>
      </c>
      <c r="AE117" s="1244">
        <v>204750000</v>
      </c>
      <c r="AF117" s="1244">
        <v>237500000</v>
      </c>
      <c r="AG117" s="1244">
        <v>250000000</v>
      </c>
      <c r="AH117" s="1460">
        <v>139162185</v>
      </c>
      <c r="AI117" s="1460">
        <v>202402355</v>
      </c>
      <c r="AJ117" s="1460"/>
      <c r="AK117" s="1460"/>
      <c r="AL117" s="1245">
        <f t="shared" si="146"/>
        <v>0.91403733990147784</v>
      </c>
      <c r="AM117" s="1245">
        <f t="shared" si="146"/>
        <v>0.98853409035409034</v>
      </c>
      <c r="AN117" s="1245">
        <f t="shared" si="146"/>
        <v>0</v>
      </c>
      <c r="AO117" s="1245">
        <f t="shared" si="146"/>
        <v>0</v>
      </c>
      <c r="AP117" s="1246">
        <v>138830906</v>
      </c>
      <c r="AQ117" s="1247">
        <v>190520098.94999999</v>
      </c>
      <c r="AR117" s="1568"/>
      <c r="AS117" s="1248"/>
      <c r="AT117" s="1249">
        <f t="shared" si="147"/>
        <v>0.91186145155993437</v>
      </c>
      <c r="AU117" s="1249">
        <f t="shared" si="147"/>
        <v>0.93050109377289369</v>
      </c>
      <c r="AV117" s="1249">
        <f t="shared" si="147"/>
        <v>0</v>
      </c>
      <c r="AW117" s="1249">
        <f t="shared" si="147"/>
        <v>0</v>
      </c>
      <c r="AX117" s="1044">
        <f t="shared" ref="AX117:BA117" si="278">+AH117-AP117</f>
        <v>331279</v>
      </c>
      <c r="AY117" s="1044">
        <f t="shared" si="278"/>
        <v>11882256.050000012</v>
      </c>
      <c r="AZ117" s="1044">
        <f t="shared" si="278"/>
        <v>0</v>
      </c>
      <c r="BA117" s="1044">
        <f t="shared" si="278"/>
        <v>0</v>
      </c>
      <c r="BB117" s="1460"/>
      <c r="BC117" s="1460"/>
      <c r="BD117" s="1460"/>
      <c r="BE117" s="1460"/>
      <c r="BF117" s="1251">
        <f t="shared" si="148"/>
        <v>0</v>
      </c>
      <c r="BG117" s="1251">
        <f t="shared" si="148"/>
        <v>0</v>
      </c>
      <c r="BH117" s="1251" t="e">
        <f t="shared" si="148"/>
        <v>#DIV/0!</v>
      </c>
      <c r="BI117" s="1251" t="e">
        <f t="shared" si="148"/>
        <v>#DIV/0!</v>
      </c>
      <c r="BJ117" s="1460">
        <f t="shared" si="199"/>
        <v>844500000</v>
      </c>
      <c r="BK117" s="1539">
        <f t="shared" si="200"/>
        <v>341564540</v>
      </c>
      <c r="BL117" s="1540">
        <f t="shared" si="194"/>
        <v>0.4044577146240379</v>
      </c>
      <c r="BM117" s="1539">
        <f t="shared" si="195"/>
        <v>329351004.94999999</v>
      </c>
      <c r="BN117" s="1541">
        <f t="shared" si="180"/>
        <v>0.38999526933096507</v>
      </c>
      <c r="BO117" s="1460"/>
      <c r="BP117" s="1569" t="s">
        <v>2434</v>
      </c>
      <c r="BQ117" s="1696" t="s">
        <v>2442</v>
      </c>
      <c r="BR117" s="1462" t="s">
        <v>2443</v>
      </c>
    </row>
    <row r="118" spans="1:70" ht="12.75" customHeight="1">
      <c r="A118" s="1827" t="s">
        <v>2444</v>
      </c>
      <c r="B118" s="1827"/>
      <c r="C118" s="1828"/>
      <c r="D118" s="1828"/>
      <c r="E118" s="1829"/>
      <c r="F118" s="1829"/>
      <c r="G118" s="1829"/>
      <c r="H118" s="1829"/>
      <c r="I118" s="1829"/>
      <c r="J118" s="1829"/>
      <c r="K118" s="1829"/>
      <c r="L118" s="1829"/>
      <c r="M118" s="1829"/>
      <c r="N118" s="1829"/>
      <c r="O118" s="1829"/>
      <c r="P118" s="1830">
        <f>+(P119*Z119)+(P121*Z121)+(P124*Z124)+(P126*Z126)+(P130*Z130)</f>
        <v>0.9880000000000001</v>
      </c>
      <c r="Q118" s="1831">
        <f>+(Q119*AA119)+(Q121*AA121)+(Q124*AA124)+(Q126*AA126)+(Q130*AA130)</f>
        <v>0.54062857142857146</v>
      </c>
      <c r="R118" s="1830" t="e">
        <f>+(R119*AB119)+(R121*AB121)+(R124*AB124)+(R126*AB126)+(R130*AB130)</f>
        <v>#DIV/0!</v>
      </c>
      <c r="S118" s="1830" t="e">
        <f>+(S119*AC119)+(S121*AC121)+(S124*AC124)+(S126*AC126)+(S130*AC130)</f>
        <v>#DIV/0!</v>
      </c>
      <c r="T118" s="1832"/>
      <c r="U118" s="1827"/>
      <c r="V118" s="1833"/>
      <c r="W118" s="1834"/>
      <c r="X118" s="1835">
        <f>+(X119*Y119)+(X121*Y121)+(X124*Y124)+(X126*Y126)+(X130*Y130)</f>
        <v>0.25550426829268297</v>
      </c>
      <c r="Y118" s="1836">
        <v>0.6</v>
      </c>
      <c r="Z118" s="1836">
        <v>0.6</v>
      </c>
      <c r="AA118" s="1836">
        <v>0.6</v>
      </c>
      <c r="AB118" s="1836">
        <v>0.6</v>
      </c>
      <c r="AC118" s="1836">
        <v>0.6</v>
      </c>
      <c r="AD118" s="1828">
        <f>+AD119+AD121+AD124+AD126+AD130</f>
        <v>1800917884.9401579</v>
      </c>
      <c r="AE118" s="1828">
        <f>+AE119+AE121+AE124+AE126+AE130</f>
        <v>5091750000</v>
      </c>
      <c r="AF118" s="1828">
        <f t="shared" ref="AF118:AG118" si="279">+AF119+AF121+AF124+AF126+AF130</f>
        <v>6310500000</v>
      </c>
      <c r="AG118" s="1828">
        <f t="shared" si="279"/>
        <v>6140000000</v>
      </c>
      <c r="AH118" s="1837">
        <f>+AH119+AH121+AH124+AH126+AH130</f>
        <v>1791755069.1547573</v>
      </c>
      <c r="AI118" s="1837">
        <f t="shared" ref="AI118:AK118" si="280">+AI119+AI121+AI124+AI126+AI130</f>
        <v>2331724463</v>
      </c>
      <c r="AJ118" s="1837">
        <f t="shared" si="280"/>
        <v>0</v>
      </c>
      <c r="AK118" s="1837">
        <f t="shared" si="280"/>
        <v>0</v>
      </c>
      <c r="AL118" s="1831">
        <f t="shared" si="146"/>
        <v>0.99491214126861471</v>
      </c>
      <c r="AM118" s="1831">
        <f t="shared" si="146"/>
        <v>0.45794166308243728</v>
      </c>
      <c r="AN118" s="1831">
        <f t="shared" si="146"/>
        <v>0</v>
      </c>
      <c r="AO118" s="1831">
        <f t="shared" si="146"/>
        <v>0</v>
      </c>
      <c r="AP118" s="1828">
        <f t="shared" ref="AP118:AS118" si="281">+AP119+AP121+AP124+AP126+AP130</f>
        <v>1117893043.2797861</v>
      </c>
      <c r="AQ118" s="1828">
        <f t="shared" si="281"/>
        <v>1740233400.4400001</v>
      </c>
      <c r="AR118" s="1828">
        <f t="shared" si="281"/>
        <v>0</v>
      </c>
      <c r="AS118" s="1828">
        <f t="shared" si="281"/>
        <v>0</v>
      </c>
      <c r="AT118" s="1831">
        <f t="shared" si="147"/>
        <v>0.62073515546042357</v>
      </c>
      <c r="AU118" s="1831">
        <f t="shared" si="147"/>
        <v>0.34177510687681056</v>
      </c>
      <c r="AV118" s="1831">
        <f t="shared" si="147"/>
        <v>0</v>
      </c>
      <c r="AW118" s="1831">
        <f t="shared" si="147"/>
        <v>0</v>
      </c>
      <c r="AX118" s="1828">
        <f t="shared" ref="AX118:BE118" si="282">+AX119+AX121+AX124+AX126+AX130</f>
        <v>673862025.87497139</v>
      </c>
      <c r="AY118" s="1828">
        <f t="shared" si="282"/>
        <v>591491062.56000006</v>
      </c>
      <c r="AZ118" s="1828">
        <f t="shared" si="282"/>
        <v>0</v>
      </c>
      <c r="BA118" s="1828">
        <f t="shared" si="282"/>
        <v>0</v>
      </c>
      <c r="BB118" s="1828">
        <f t="shared" si="282"/>
        <v>0</v>
      </c>
      <c r="BC118" s="1828">
        <f t="shared" si="282"/>
        <v>0</v>
      </c>
      <c r="BD118" s="1828">
        <f t="shared" si="282"/>
        <v>0</v>
      </c>
      <c r="BE118" s="1828">
        <f t="shared" si="282"/>
        <v>0</v>
      </c>
      <c r="BF118" s="1836">
        <f t="shared" si="148"/>
        <v>0</v>
      </c>
      <c r="BG118" s="1836">
        <f t="shared" si="148"/>
        <v>0</v>
      </c>
      <c r="BH118" s="1836" t="e">
        <f t="shared" si="148"/>
        <v>#DIV/0!</v>
      </c>
      <c r="BI118" s="1836" t="e">
        <f t="shared" si="148"/>
        <v>#DIV/0!</v>
      </c>
      <c r="BJ118" s="1828">
        <f t="shared" si="199"/>
        <v>19343167884.940159</v>
      </c>
      <c r="BK118" s="1837">
        <f t="shared" si="200"/>
        <v>4123479532.1547575</v>
      </c>
      <c r="BL118" s="1838">
        <f t="shared" si="194"/>
        <v>0.21317498543582092</v>
      </c>
      <c r="BM118" s="1837">
        <f t="shared" si="195"/>
        <v>2858126443.7197862</v>
      </c>
      <c r="BN118" s="1839">
        <f t="shared" si="180"/>
        <v>0.14775896382231229</v>
      </c>
      <c r="BO118" s="1828"/>
      <c r="BP118" s="1840"/>
      <c r="BQ118" s="1841"/>
      <c r="BR118" s="1842"/>
    </row>
    <row r="119" spans="1:70" ht="12.75" customHeight="1" thickBot="1">
      <c r="A119" s="1772" t="s">
        <v>2445</v>
      </c>
      <c r="B119" s="1772"/>
      <c r="C119" s="1773"/>
      <c r="D119" s="1773"/>
      <c r="E119" s="1774"/>
      <c r="F119" s="1774"/>
      <c r="G119" s="1774"/>
      <c r="H119" s="1774"/>
      <c r="I119" s="1774"/>
      <c r="J119" s="1774"/>
      <c r="K119" s="1774"/>
      <c r="L119" s="1774"/>
      <c r="M119" s="1774"/>
      <c r="N119" s="1774"/>
      <c r="O119" s="1774"/>
      <c r="P119" s="1775">
        <f>+SUMPRODUCT(P120:P120,Z120:Z120)</f>
        <v>1</v>
      </c>
      <c r="Q119" s="1776">
        <f>+SUMPRODUCT(Q120:Q120,AA120:AA120)</f>
        <v>1</v>
      </c>
      <c r="R119" s="1777">
        <f>+SUMPRODUCT(R120:R120,AB120:AB120)</f>
        <v>0</v>
      </c>
      <c r="S119" s="1777">
        <f>+SUMPRODUCT(S120:S120,AC120:AC120)</f>
        <v>0</v>
      </c>
      <c r="T119" s="1843"/>
      <c r="U119" s="1772"/>
      <c r="V119" s="1779"/>
      <c r="W119" s="1780"/>
      <c r="X119" s="1775">
        <f>+SUMPRODUCT(X120:X120,Y120:Y120)</f>
        <v>0.75</v>
      </c>
      <c r="Y119" s="1776">
        <v>0.05</v>
      </c>
      <c r="Z119" s="1776">
        <v>0.05</v>
      </c>
      <c r="AA119" s="1776">
        <v>0.05</v>
      </c>
      <c r="AB119" s="1776">
        <v>0.05</v>
      </c>
      <c r="AC119" s="1776">
        <v>0.05</v>
      </c>
      <c r="AD119" s="1773">
        <f>SUM(AD120)</f>
        <v>189982029.43830389</v>
      </c>
      <c r="AE119" s="1773">
        <f>SUM(AE120)</f>
        <v>162000000</v>
      </c>
      <c r="AF119" s="1773">
        <f t="shared" ref="AF119:AG119" si="283">SUM(AF120)</f>
        <v>190000000</v>
      </c>
      <c r="AG119" s="1773">
        <f t="shared" si="283"/>
        <v>200000000</v>
      </c>
      <c r="AH119" s="1773">
        <f>SUM(AH120)</f>
        <v>188165579.35545069</v>
      </c>
      <c r="AI119" s="1782">
        <f t="shared" ref="AI119:AK119" si="284">SUM(AI120)</f>
        <v>159965046</v>
      </c>
      <c r="AJ119" s="1782">
        <f t="shared" si="284"/>
        <v>0</v>
      </c>
      <c r="AK119" s="1782">
        <f t="shared" si="284"/>
        <v>0</v>
      </c>
      <c r="AL119" s="1781">
        <f t="shared" si="146"/>
        <v>0.99043883209257388</v>
      </c>
      <c r="AM119" s="1781">
        <f t="shared" si="146"/>
        <v>0.9874385555555556</v>
      </c>
      <c r="AN119" s="1781">
        <f t="shared" si="146"/>
        <v>0</v>
      </c>
      <c r="AO119" s="1781">
        <f t="shared" si="146"/>
        <v>0</v>
      </c>
      <c r="AP119" s="1773">
        <f t="shared" ref="AP119:AS119" si="285">SUM(AP120)</f>
        <v>175973700.79091752</v>
      </c>
      <c r="AQ119" s="1773">
        <f t="shared" si="285"/>
        <v>152638642.91999999</v>
      </c>
      <c r="AR119" s="1773">
        <f t="shared" si="285"/>
        <v>0</v>
      </c>
      <c r="AS119" s="1773">
        <f t="shared" si="285"/>
        <v>0</v>
      </c>
      <c r="AT119" s="1781">
        <f t="shared" si="147"/>
        <v>0.92626498048892814</v>
      </c>
      <c r="AU119" s="1781">
        <f t="shared" si="147"/>
        <v>0.94221384518518514</v>
      </c>
      <c r="AV119" s="1781">
        <f t="shared" si="147"/>
        <v>0</v>
      </c>
      <c r="AW119" s="1781">
        <f t="shared" si="147"/>
        <v>0</v>
      </c>
      <c r="AX119" s="1773">
        <f t="shared" ref="AX119:BE119" si="286">SUM(AX120)</f>
        <v>12191878.564533174</v>
      </c>
      <c r="AY119" s="1773">
        <f t="shared" si="286"/>
        <v>7326403.0800000131</v>
      </c>
      <c r="AZ119" s="1773">
        <f t="shared" si="286"/>
        <v>0</v>
      </c>
      <c r="BA119" s="1773">
        <f t="shared" si="286"/>
        <v>0</v>
      </c>
      <c r="BB119" s="1773">
        <f t="shared" si="286"/>
        <v>0</v>
      </c>
      <c r="BC119" s="1773">
        <f t="shared" si="286"/>
        <v>0</v>
      </c>
      <c r="BD119" s="1773">
        <f t="shared" si="286"/>
        <v>0</v>
      </c>
      <c r="BE119" s="1773">
        <f t="shared" si="286"/>
        <v>0</v>
      </c>
      <c r="BF119" s="1776">
        <f t="shared" si="148"/>
        <v>0</v>
      </c>
      <c r="BG119" s="1776">
        <f t="shared" si="148"/>
        <v>0</v>
      </c>
      <c r="BH119" s="1776" t="e">
        <f t="shared" si="148"/>
        <v>#DIV/0!</v>
      </c>
      <c r="BI119" s="1776" t="e">
        <f t="shared" si="148"/>
        <v>#DIV/0!</v>
      </c>
      <c r="BJ119" s="1773">
        <f t="shared" si="199"/>
        <v>741982029.43830395</v>
      </c>
      <c r="BK119" s="1782">
        <f t="shared" si="200"/>
        <v>348130625.35545069</v>
      </c>
      <c r="BL119" s="1783">
        <f t="shared" si="194"/>
        <v>0.46919010372662651</v>
      </c>
      <c r="BM119" s="1782">
        <f t="shared" si="195"/>
        <v>328612343.71091747</v>
      </c>
      <c r="BN119" s="1784">
        <f t="shared" si="180"/>
        <v>0.44288450484398384</v>
      </c>
      <c r="BO119" s="1773"/>
      <c r="BP119" s="1785"/>
      <c r="BQ119" s="1786"/>
      <c r="BR119" s="1844"/>
    </row>
    <row r="120" spans="1:70" ht="12.75" customHeight="1" thickBot="1">
      <c r="A120" s="1845" t="s">
        <v>2446</v>
      </c>
      <c r="B120" s="1821" t="s">
        <v>2447</v>
      </c>
      <c r="C120" s="1454" t="s">
        <v>2181</v>
      </c>
      <c r="D120" s="1823">
        <v>1</v>
      </c>
      <c r="E120" s="1824">
        <v>1</v>
      </c>
      <c r="F120" s="1824">
        <v>1</v>
      </c>
      <c r="G120" s="1825">
        <v>1</v>
      </c>
      <c r="H120" s="1693">
        <v>2</v>
      </c>
      <c r="I120" s="1236">
        <v>1</v>
      </c>
      <c r="J120" s="1236"/>
      <c r="K120" s="1236"/>
      <c r="L120" s="1236"/>
      <c r="M120" s="1237"/>
      <c r="N120" s="1237"/>
      <c r="O120" s="1237"/>
      <c r="P120" s="1238">
        <f t="shared" ref="P120:S120" si="287">IF((H120+L120)/D120&gt;=100%,100%,(H120+L120)/D120)</f>
        <v>1</v>
      </c>
      <c r="Q120" s="1238">
        <f t="shared" si="287"/>
        <v>1</v>
      </c>
      <c r="R120" s="1238">
        <f t="shared" si="287"/>
        <v>0</v>
      </c>
      <c r="S120" s="1238">
        <f t="shared" si="287"/>
        <v>0</v>
      </c>
      <c r="T120" s="1694" t="s">
        <v>2448</v>
      </c>
      <c r="U120" s="1034">
        <v>46022</v>
      </c>
      <c r="V120" s="1035">
        <f>SUM(D120:G120)</f>
        <v>4</v>
      </c>
      <c r="W120" s="1035">
        <f>SUM(H120:N120)</f>
        <v>3</v>
      </c>
      <c r="X120" s="1700">
        <f t="shared" ref="X120" si="288">IF(W120/V120&gt;=100%,100%,W120/V120)</f>
        <v>0.75</v>
      </c>
      <c r="Y120" s="1241">
        <v>1</v>
      </c>
      <c r="Z120" s="1241">
        <v>1</v>
      </c>
      <c r="AA120" s="1241">
        <v>1</v>
      </c>
      <c r="AB120" s="1241">
        <v>1</v>
      </c>
      <c r="AC120" s="1241">
        <v>1</v>
      </c>
      <c r="AD120" s="1244">
        <f>119000000+70982029.4383039</f>
        <v>189982029.43830389</v>
      </c>
      <c r="AE120" s="1244">
        <v>162000000</v>
      </c>
      <c r="AF120" s="1244">
        <v>190000000</v>
      </c>
      <c r="AG120" s="1244">
        <v>200000000</v>
      </c>
      <c r="AH120" s="1460">
        <f>117183550+70982029.3554507</f>
        <v>188165579.35545069</v>
      </c>
      <c r="AI120" s="1460">
        <v>159965046</v>
      </c>
      <c r="AJ120" s="1460"/>
      <c r="AK120" s="1460"/>
      <c r="AL120" s="1245">
        <f t="shared" si="146"/>
        <v>0.99043883209257388</v>
      </c>
      <c r="AM120" s="1245">
        <f t="shared" si="146"/>
        <v>0.9874385555555556</v>
      </c>
      <c r="AN120" s="1245">
        <f t="shared" si="146"/>
        <v>0</v>
      </c>
      <c r="AO120" s="1245">
        <f t="shared" si="146"/>
        <v>0</v>
      </c>
      <c r="AP120" s="1246">
        <f>110417658+65556042.7909175</f>
        <v>175973700.79091752</v>
      </c>
      <c r="AQ120" s="1247">
        <v>152638642.91999999</v>
      </c>
      <c r="AR120" s="1568"/>
      <c r="AS120" s="1248"/>
      <c r="AT120" s="1249">
        <f t="shared" si="147"/>
        <v>0.92626498048892814</v>
      </c>
      <c r="AU120" s="1249">
        <f t="shared" si="147"/>
        <v>0.94221384518518514</v>
      </c>
      <c r="AV120" s="1249">
        <f t="shared" si="147"/>
        <v>0</v>
      </c>
      <c r="AW120" s="1249">
        <f t="shared" si="147"/>
        <v>0</v>
      </c>
      <c r="AX120" s="1044">
        <f t="shared" ref="AX120:BA120" si="289">+AH120-AP120</f>
        <v>12191878.564533174</v>
      </c>
      <c r="AY120" s="1044">
        <f t="shared" si="289"/>
        <v>7326403.0800000131</v>
      </c>
      <c r="AZ120" s="1044">
        <f t="shared" si="289"/>
        <v>0</v>
      </c>
      <c r="BA120" s="1044">
        <f t="shared" si="289"/>
        <v>0</v>
      </c>
      <c r="BB120" s="1460"/>
      <c r="BC120" s="1460"/>
      <c r="BD120" s="1460"/>
      <c r="BE120" s="1460"/>
      <c r="BF120" s="1251">
        <f t="shared" si="148"/>
        <v>0</v>
      </c>
      <c r="BG120" s="1251">
        <f t="shared" si="148"/>
        <v>0</v>
      </c>
      <c r="BH120" s="1251" t="e">
        <f t="shared" si="148"/>
        <v>#DIV/0!</v>
      </c>
      <c r="BI120" s="1251" t="e">
        <f t="shared" si="148"/>
        <v>#DIV/0!</v>
      </c>
      <c r="BJ120" s="1460">
        <f t="shared" si="199"/>
        <v>741982029.43830395</v>
      </c>
      <c r="BK120" s="1539">
        <f t="shared" si="200"/>
        <v>348130625.35545069</v>
      </c>
      <c r="BL120" s="1540">
        <f t="shared" si="194"/>
        <v>0.46919010372662651</v>
      </c>
      <c r="BM120" s="1539">
        <f t="shared" si="195"/>
        <v>328612343.71091747</v>
      </c>
      <c r="BN120" s="1541">
        <f t="shared" si="180"/>
        <v>0.44288450484398384</v>
      </c>
      <c r="BO120" s="1113" t="s">
        <v>2438</v>
      </c>
      <c r="BP120" s="1461" t="s">
        <v>2449</v>
      </c>
      <c r="BQ120" s="1542" t="s">
        <v>2193</v>
      </c>
      <c r="BR120" s="1256" t="s">
        <v>596</v>
      </c>
    </row>
    <row r="121" spans="1:70" ht="12.75" customHeight="1" thickBot="1">
      <c r="A121" s="1804" t="s">
        <v>2450</v>
      </c>
      <c r="B121" s="1804"/>
      <c r="C121" s="1805"/>
      <c r="D121" s="1805"/>
      <c r="E121" s="1806"/>
      <c r="F121" s="1806"/>
      <c r="G121" s="1806"/>
      <c r="H121" s="1806"/>
      <c r="I121" s="1806"/>
      <c r="J121" s="1806"/>
      <c r="K121" s="1806"/>
      <c r="L121" s="1806"/>
      <c r="M121" s="1806"/>
      <c r="N121" s="1806"/>
      <c r="O121" s="1806"/>
      <c r="P121" s="1807">
        <f>+SUMPRODUCT(P122:P123,Z122:Z123)</f>
        <v>1</v>
      </c>
      <c r="Q121" s="1808">
        <f>+SUMPRODUCT(Q122:Q123,AA122:AA123)</f>
        <v>0.4</v>
      </c>
      <c r="R121" s="1809">
        <f>+SUMPRODUCT(R122:R123,AB122:AB123)</f>
        <v>0</v>
      </c>
      <c r="S121" s="1809">
        <f>+SUMPRODUCT(S122:S123,AC122:AC123)</f>
        <v>0</v>
      </c>
      <c r="T121" s="1846"/>
      <c r="U121" s="1804"/>
      <c r="V121" s="1811"/>
      <c r="W121" s="1812"/>
      <c r="X121" s="1807">
        <f>+SUMPRODUCT(X122:X123,Y122:Y123)</f>
        <v>0.1525</v>
      </c>
      <c r="Y121" s="1808">
        <v>0.75</v>
      </c>
      <c r="Z121" s="1808">
        <v>0.75</v>
      </c>
      <c r="AA121" s="1808">
        <v>0.75</v>
      </c>
      <c r="AB121" s="1808">
        <v>0.75</v>
      </c>
      <c r="AC121" s="1808">
        <v>0.75</v>
      </c>
      <c r="AD121" s="1805">
        <f>SUM(AD122:AD123)</f>
        <v>318499284.646568</v>
      </c>
      <c r="AE121" s="1805">
        <f>SUM(AE122:AE123)</f>
        <v>3912300000</v>
      </c>
      <c r="AF121" s="1805">
        <f t="shared" ref="AF121:AK121" si="290">SUM(AF122:AF123)</f>
        <v>4942000000</v>
      </c>
      <c r="AG121" s="1805">
        <f t="shared" si="290"/>
        <v>5200000000</v>
      </c>
      <c r="AH121" s="1805">
        <f t="shared" si="290"/>
        <v>318252951.50766701</v>
      </c>
      <c r="AI121" s="1813">
        <f t="shared" si="290"/>
        <v>1227712723</v>
      </c>
      <c r="AJ121" s="1813">
        <f t="shared" si="290"/>
        <v>0</v>
      </c>
      <c r="AK121" s="1813">
        <f t="shared" si="290"/>
        <v>0</v>
      </c>
      <c r="AL121" s="1814">
        <f t="shared" si="146"/>
        <v>0.99922658181422808</v>
      </c>
      <c r="AM121" s="1814">
        <f t="shared" si="146"/>
        <v>0.31380843059070113</v>
      </c>
      <c r="AN121" s="1814">
        <f t="shared" si="146"/>
        <v>0</v>
      </c>
      <c r="AO121" s="1814">
        <f t="shared" si="146"/>
        <v>0</v>
      </c>
      <c r="AP121" s="1805">
        <f t="shared" ref="AP121:AS121" si="291">SUM(AP122:AP123)</f>
        <v>109902777.620068</v>
      </c>
      <c r="AQ121" s="1847">
        <f t="shared" si="291"/>
        <v>947883641.50999999</v>
      </c>
      <c r="AR121" s="1847">
        <f t="shared" si="291"/>
        <v>0</v>
      </c>
      <c r="AS121" s="1847">
        <f t="shared" si="291"/>
        <v>0</v>
      </c>
      <c r="AT121" s="1814">
        <f t="shared" si="147"/>
        <v>0.34506444101444311</v>
      </c>
      <c r="AU121" s="1814">
        <f t="shared" si="147"/>
        <v>0.24228296437134167</v>
      </c>
      <c r="AV121" s="1814">
        <f t="shared" si="147"/>
        <v>0</v>
      </c>
      <c r="AW121" s="1814">
        <f t="shared" si="147"/>
        <v>0</v>
      </c>
      <c r="AX121" s="1805">
        <f t="shared" ref="AX121:BE121" si="292">SUM(AX122:AX123)</f>
        <v>208350173.88759899</v>
      </c>
      <c r="AY121" s="1805">
        <f t="shared" si="292"/>
        <v>279829081.49000001</v>
      </c>
      <c r="AZ121" s="1805">
        <f t="shared" si="292"/>
        <v>0</v>
      </c>
      <c r="BA121" s="1805">
        <f t="shared" si="292"/>
        <v>0</v>
      </c>
      <c r="BB121" s="1805">
        <f t="shared" si="292"/>
        <v>0</v>
      </c>
      <c r="BC121" s="1805">
        <f t="shared" si="292"/>
        <v>0</v>
      </c>
      <c r="BD121" s="1805">
        <f t="shared" si="292"/>
        <v>0</v>
      </c>
      <c r="BE121" s="1805">
        <f t="shared" si="292"/>
        <v>0</v>
      </c>
      <c r="BF121" s="1808">
        <f t="shared" si="148"/>
        <v>0</v>
      </c>
      <c r="BG121" s="1808">
        <f t="shared" si="148"/>
        <v>0</v>
      </c>
      <c r="BH121" s="1808" t="e">
        <f t="shared" si="148"/>
        <v>#DIV/0!</v>
      </c>
      <c r="BI121" s="1808" t="e">
        <f t="shared" si="148"/>
        <v>#DIV/0!</v>
      </c>
      <c r="BJ121" s="1805">
        <f t="shared" si="199"/>
        <v>14372799284.646568</v>
      </c>
      <c r="BK121" s="1813">
        <f t="shared" si="200"/>
        <v>1545965674.5076671</v>
      </c>
      <c r="BL121" s="1815">
        <f t="shared" si="194"/>
        <v>0.1075619052274049</v>
      </c>
      <c r="BM121" s="1813">
        <f t="shared" si="195"/>
        <v>1057786419.1300679</v>
      </c>
      <c r="BN121" s="1816">
        <f t="shared" si="180"/>
        <v>7.3596409313252245E-2</v>
      </c>
      <c r="BO121" s="1805"/>
      <c r="BP121" s="1848"/>
      <c r="BQ121" s="1849"/>
      <c r="BR121" s="1850"/>
    </row>
    <row r="122" spans="1:70" ht="12.75" customHeight="1" thickBot="1">
      <c r="A122" s="1851" t="s">
        <v>2451</v>
      </c>
      <c r="B122" s="1852" t="s">
        <v>2452</v>
      </c>
      <c r="C122" s="1025" t="s">
        <v>2181</v>
      </c>
      <c r="D122" s="1853">
        <v>0</v>
      </c>
      <c r="E122" s="1854">
        <v>6</v>
      </c>
      <c r="F122" s="1854">
        <v>6</v>
      </c>
      <c r="G122" s="1855">
        <v>6</v>
      </c>
      <c r="H122" s="1627"/>
      <c r="I122" s="1030">
        <v>2</v>
      </c>
      <c r="J122" s="1030"/>
      <c r="K122" s="1030"/>
      <c r="L122" s="1030"/>
      <c r="M122" s="1031"/>
      <c r="N122" s="1031"/>
      <c r="O122" s="1031"/>
      <c r="P122" s="1032"/>
      <c r="Q122" s="1032">
        <f t="shared" ref="Q122:S123" si="293">IF((I122+M122)/E122&gt;=100%,100%,(I122+M122)/E122)</f>
        <v>0.33333333333333331</v>
      </c>
      <c r="R122" s="1032">
        <f t="shared" si="293"/>
        <v>0</v>
      </c>
      <c r="S122" s="1032">
        <f t="shared" si="293"/>
        <v>0</v>
      </c>
      <c r="T122" s="1136" t="s">
        <v>2453</v>
      </c>
      <c r="U122" s="1034">
        <v>46022</v>
      </c>
      <c r="V122" s="1035">
        <f t="shared" ref="V122:V123" si="294">SUM(D122:G122)</f>
        <v>18</v>
      </c>
      <c r="W122" s="1035">
        <f t="shared" ref="W122:W123" si="295">SUM(H122:N122)</f>
        <v>2</v>
      </c>
      <c r="X122" s="1279">
        <f t="shared" ref="X122:X123" si="296">IF(W122/V122&gt;=100%,100%,W122/V122)</f>
        <v>0.1111111111111111</v>
      </c>
      <c r="Y122" s="1037">
        <v>0.9</v>
      </c>
      <c r="Z122" s="1037">
        <v>0</v>
      </c>
      <c r="AA122" s="1037">
        <v>0.9</v>
      </c>
      <c r="AB122" s="1037">
        <v>0.9</v>
      </c>
      <c r="AC122" s="1037">
        <v>0.9</v>
      </c>
      <c r="AD122" s="1137"/>
      <c r="AE122" s="1137">
        <f>3912300000/2</f>
        <v>1956150000</v>
      </c>
      <c r="AF122" s="1137">
        <v>4600000000</v>
      </c>
      <c r="AG122" s="1137">
        <v>4800000000</v>
      </c>
      <c r="AH122" s="1049"/>
      <c r="AI122" s="1049">
        <f>1227712723/2</f>
        <v>613856361.5</v>
      </c>
      <c r="AJ122" s="1049"/>
      <c r="AK122" s="1049"/>
      <c r="AL122" s="1112" t="e">
        <f t="shared" si="146"/>
        <v>#DIV/0!</v>
      </c>
      <c r="AM122" s="1112">
        <f t="shared" si="146"/>
        <v>0.31380843059070113</v>
      </c>
      <c r="AN122" s="1112">
        <f t="shared" si="146"/>
        <v>0</v>
      </c>
      <c r="AO122" s="1112">
        <f t="shared" si="146"/>
        <v>0</v>
      </c>
      <c r="AP122" s="1138"/>
      <c r="AQ122" s="1041">
        <f>947883641.51/2</f>
        <v>473941820.755</v>
      </c>
      <c r="AR122" s="1552"/>
      <c r="AS122" s="1042"/>
      <c r="AT122" s="1140" t="e">
        <f t="shared" si="147"/>
        <v>#DIV/0!</v>
      </c>
      <c r="AU122" s="1140">
        <f t="shared" si="147"/>
        <v>0.24228296437134167</v>
      </c>
      <c r="AV122" s="1140">
        <f t="shared" si="147"/>
        <v>0</v>
      </c>
      <c r="AW122" s="1140">
        <f t="shared" si="147"/>
        <v>0</v>
      </c>
      <c r="AX122" s="1044">
        <f t="shared" ref="AX122:BA123" si="297">+AH122-AP122</f>
        <v>0</v>
      </c>
      <c r="AY122" s="1044">
        <f t="shared" si="297"/>
        <v>139914540.745</v>
      </c>
      <c r="AZ122" s="1044">
        <f t="shared" si="297"/>
        <v>0</v>
      </c>
      <c r="BA122" s="1044">
        <f t="shared" si="297"/>
        <v>0</v>
      </c>
      <c r="BB122" s="1049"/>
      <c r="BC122" s="1049"/>
      <c r="BD122" s="1049"/>
      <c r="BE122" s="1049"/>
      <c r="BF122" s="1045" t="e">
        <f t="shared" si="148"/>
        <v>#DIV/0!</v>
      </c>
      <c r="BG122" s="1045">
        <f t="shared" si="148"/>
        <v>0</v>
      </c>
      <c r="BH122" s="1045" t="e">
        <f t="shared" si="148"/>
        <v>#DIV/0!</v>
      </c>
      <c r="BI122" s="1045" t="e">
        <f t="shared" si="148"/>
        <v>#DIV/0!</v>
      </c>
      <c r="BJ122" s="1049">
        <f t="shared" si="199"/>
        <v>11356150000</v>
      </c>
      <c r="BK122" s="1141">
        <f t="shared" si="200"/>
        <v>613856361.5</v>
      </c>
      <c r="BL122" s="1142">
        <f t="shared" si="194"/>
        <v>5.4054971227044377E-2</v>
      </c>
      <c r="BM122" s="1141">
        <f t="shared" si="195"/>
        <v>473941820.755</v>
      </c>
      <c r="BN122" s="1143">
        <f t="shared" si="180"/>
        <v>4.1734374832579704E-2</v>
      </c>
      <c r="BO122" s="1049"/>
      <c r="BP122" s="1512" t="s">
        <v>2449</v>
      </c>
      <c r="BQ122" s="1531" t="s">
        <v>2454</v>
      </c>
      <c r="BR122" s="1469" t="s">
        <v>2455</v>
      </c>
    </row>
    <row r="123" spans="1:70" ht="12.75" customHeight="1" thickBot="1">
      <c r="A123" s="1856" t="s">
        <v>2456</v>
      </c>
      <c r="B123" s="1857" t="s">
        <v>2457</v>
      </c>
      <c r="C123" s="1152" t="s">
        <v>2181</v>
      </c>
      <c r="D123" s="1858">
        <v>4</v>
      </c>
      <c r="E123" s="1859">
        <v>12</v>
      </c>
      <c r="F123" s="1859">
        <v>12</v>
      </c>
      <c r="G123" s="1860">
        <v>12</v>
      </c>
      <c r="H123" s="1634">
        <v>6</v>
      </c>
      <c r="I123" s="1182">
        <v>15</v>
      </c>
      <c r="J123" s="1182"/>
      <c r="K123" s="1182"/>
      <c r="L123" s="1182"/>
      <c r="M123" s="1101"/>
      <c r="N123" s="1101"/>
      <c r="O123" s="1101"/>
      <c r="P123" s="1102">
        <f t="shared" ref="P123" si="298">IF((H123+L123)/D123&gt;=100%,100%,(H123+L123)/D123)</f>
        <v>1</v>
      </c>
      <c r="Q123" s="1032">
        <f t="shared" si="293"/>
        <v>1</v>
      </c>
      <c r="R123" s="1102"/>
      <c r="S123" s="1102"/>
      <c r="T123" s="1686" t="s">
        <v>2458</v>
      </c>
      <c r="U123" s="1034">
        <v>46022</v>
      </c>
      <c r="V123" s="1035">
        <f t="shared" si="294"/>
        <v>40</v>
      </c>
      <c r="W123" s="1035">
        <f t="shared" si="295"/>
        <v>21</v>
      </c>
      <c r="X123" s="1279">
        <f t="shared" si="296"/>
        <v>0.52500000000000002</v>
      </c>
      <c r="Y123" s="1104">
        <v>0.1</v>
      </c>
      <c r="Z123" s="1104">
        <v>1</v>
      </c>
      <c r="AA123" s="1104">
        <v>0.1</v>
      </c>
      <c r="AB123" s="1104">
        <v>0.1</v>
      </c>
      <c r="AC123" s="1104">
        <v>0.1</v>
      </c>
      <c r="AD123" s="1106">
        <f>199500000+118999284.646568</f>
        <v>318499284.646568</v>
      </c>
      <c r="AE123" s="1137">
        <f>3912300000/2</f>
        <v>1956150000</v>
      </c>
      <c r="AF123" s="1137">
        <v>342000000</v>
      </c>
      <c r="AG123" s="1137">
        <v>400000000</v>
      </c>
      <c r="AH123" s="1113">
        <f>199253667+118999284.507667</f>
        <v>318252951.50766701</v>
      </c>
      <c r="AI123" s="1049">
        <f>1227712723/2</f>
        <v>613856361.5</v>
      </c>
      <c r="AJ123" s="1049"/>
      <c r="AK123" s="1049"/>
      <c r="AL123" s="1295">
        <f t="shared" si="146"/>
        <v>0.99922658181422808</v>
      </c>
      <c r="AM123" s="1295">
        <f t="shared" si="146"/>
        <v>0.31380843059070113</v>
      </c>
      <c r="AN123" s="1295">
        <f t="shared" si="146"/>
        <v>0</v>
      </c>
      <c r="AO123" s="1295">
        <f t="shared" si="146"/>
        <v>0</v>
      </c>
      <c r="AP123" s="1109">
        <f>0+109902777.620068</f>
        <v>109902777.620068</v>
      </c>
      <c r="AQ123" s="1041">
        <f>947883641.51/2</f>
        <v>473941820.755</v>
      </c>
      <c r="AR123" s="1567"/>
      <c r="AS123" s="1188"/>
      <c r="AT123" s="1189">
        <f t="shared" si="147"/>
        <v>0.34506444101444311</v>
      </c>
      <c r="AU123" s="1189">
        <f t="shared" si="147"/>
        <v>0.24228296437134167</v>
      </c>
      <c r="AV123" s="1189">
        <f t="shared" si="147"/>
        <v>0</v>
      </c>
      <c r="AW123" s="1189">
        <f t="shared" si="147"/>
        <v>0</v>
      </c>
      <c r="AX123" s="1044">
        <f t="shared" si="297"/>
        <v>208350173.88759899</v>
      </c>
      <c r="AY123" s="1044">
        <f t="shared" si="297"/>
        <v>139914540.745</v>
      </c>
      <c r="AZ123" s="1044">
        <f t="shared" si="297"/>
        <v>0</v>
      </c>
      <c r="BA123" s="1044">
        <f t="shared" si="297"/>
        <v>0</v>
      </c>
      <c r="BB123" s="1113"/>
      <c r="BC123" s="1113"/>
      <c r="BD123" s="1113"/>
      <c r="BE123" s="1113"/>
      <c r="BF123" s="1190">
        <f t="shared" si="148"/>
        <v>0</v>
      </c>
      <c r="BG123" s="1190">
        <f t="shared" si="148"/>
        <v>0</v>
      </c>
      <c r="BH123" s="1190" t="e">
        <f t="shared" si="148"/>
        <v>#DIV/0!</v>
      </c>
      <c r="BI123" s="1190" t="e">
        <f t="shared" si="148"/>
        <v>#DIV/0!</v>
      </c>
      <c r="BJ123" s="1113">
        <f t="shared" si="199"/>
        <v>3016649284.6465678</v>
      </c>
      <c r="BK123" s="1484">
        <f t="shared" si="200"/>
        <v>932109313.00766706</v>
      </c>
      <c r="BL123" s="1485">
        <f t="shared" si="194"/>
        <v>0.30898829298841529</v>
      </c>
      <c r="BM123" s="1484">
        <f t="shared" si="195"/>
        <v>583844598.37506795</v>
      </c>
      <c r="BN123" s="1486">
        <f t="shared" si="180"/>
        <v>0.19354076105120435</v>
      </c>
      <c r="BO123" s="1113" t="s">
        <v>2438</v>
      </c>
      <c r="BP123" s="1435" t="s">
        <v>2449</v>
      </c>
      <c r="BQ123" s="1803" t="s">
        <v>2193</v>
      </c>
      <c r="BR123" s="1861" t="s">
        <v>2455</v>
      </c>
    </row>
    <row r="124" spans="1:70" ht="12.75" customHeight="1" thickBot="1">
      <c r="A124" s="1804" t="s">
        <v>2459</v>
      </c>
      <c r="B124" s="1804"/>
      <c r="C124" s="1805"/>
      <c r="D124" s="1805"/>
      <c r="E124" s="1806"/>
      <c r="F124" s="1806"/>
      <c r="G124" s="1806"/>
      <c r="H124" s="1806"/>
      <c r="I124" s="1806"/>
      <c r="J124" s="1806"/>
      <c r="K124" s="1806"/>
      <c r="L124" s="1806"/>
      <c r="M124" s="1806"/>
      <c r="N124" s="1806"/>
      <c r="O124" s="1806"/>
      <c r="P124" s="1807">
        <f>+SUMPRODUCT(P125:P125,Z125:Z125)</f>
        <v>0.76</v>
      </c>
      <c r="Q124" s="1808">
        <f>+SUMPRODUCT(Q125:Q125,AA125:AA125)</f>
        <v>0.9</v>
      </c>
      <c r="R124" s="1809">
        <f>+SUMPRODUCT(R125:R125,AB125:AB125)</f>
        <v>0</v>
      </c>
      <c r="S124" s="1809">
        <f>+SUMPRODUCT(S125:S125,AC125:AC125)</f>
        <v>0</v>
      </c>
      <c r="T124" s="1810"/>
      <c r="U124" s="1804"/>
      <c r="V124" s="1811"/>
      <c r="W124" s="1812"/>
      <c r="X124" s="1807">
        <f>+SUMPRODUCT(X125:X125,Y125:Y125)</f>
        <v>0.41500000000000004</v>
      </c>
      <c r="Y124" s="1808">
        <v>0.05</v>
      </c>
      <c r="Z124" s="1808">
        <v>0.05</v>
      </c>
      <c r="AA124" s="1808">
        <v>0.05</v>
      </c>
      <c r="AB124" s="1808">
        <v>0.05</v>
      </c>
      <c r="AC124" s="1808">
        <v>0.05</v>
      </c>
      <c r="AD124" s="1805">
        <f>SUM(AD125:AD125)</f>
        <v>74316499.750865996</v>
      </c>
      <c r="AE124" s="1805">
        <f>SUM(AE125:AE125)</f>
        <v>59850000</v>
      </c>
      <c r="AF124" s="1805">
        <f t="shared" ref="AF124:AK124" si="299">SUM(AF125:AF125)</f>
        <v>66500000</v>
      </c>
      <c r="AG124" s="1805">
        <f t="shared" si="299"/>
        <v>70000000</v>
      </c>
      <c r="AH124" s="1805">
        <f t="shared" si="299"/>
        <v>73914162.718455702</v>
      </c>
      <c r="AI124" s="1813">
        <f t="shared" si="299"/>
        <v>59663684</v>
      </c>
      <c r="AJ124" s="1813">
        <f t="shared" si="299"/>
        <v>0</v>
      </c>
      <c r="AK124" s="1813">
        <f t="shared" si="299"/>
        <v>0</v>
      </c>
      <c r="AL124" s="1814">
        <f t="shared" si="146"/>
        <v>0.9945861681623992</v>
      </c>
      <c r="AM124" s="1814">
        <f t="shared" si="146"/>
        <v>0.99688695071010858</v>
      </c>
      <c r="AN124" s="1814">
        <f t="shared" si="146"/>
        <v>0</v>
      </c>
      <c r="AO124" s="1814">
        <f t="shared" si="146"/>
        <v>0</v>
      </c>
      <c r="AP124" s="1805">
        <f t="shared" ref="AP124:AS124" si="300">SUM(AP125:AP125)</f>
        <v>71173112.444682404</v>
      </c>
      <c r="AQ124" s="1805">
        <f t="shared" si="300"/>
        <v>56850475.060000002</v>
      </c>
      <c r="AR124" s="1805">
        <f t="shared" si="300"/>
        <v>0</v>
      </c>
      <c r="AS124" s="1805">
        <f t="shared" si="300"/>
        <v>0</v>
      </c>
      <c r="AT124" s="1814">
        <f t="shared" si="147"/>
        <v>0.95770269971377442</v>
      </c>
      <c r="AU124" s="1814">
        <f t="shared" si="147"/>
        <v>0.9498826242272348</v>
      </c>
      <c r="AV124" s="1814">
        <f t="shared" si="147"/>
        <v>0</v>
      </c>
      <c r="AW124" s="1814">
        <f t="shared" si="147"/>
        <v>0</v>
      </c>
      <c r="AX124" s="1805">
        <f t="shared" ref="AX124:BE124" si="301">SUM(AX125:AX125)</f>
        <v>2741050.2737732977</v>
      </c>
      <c r="AY124" s="1805">
        <f t="shared" si="301"/>
        <v>2813208.9399999976</v>
      </c>
      <c r="AZ124" s="1805">
        <f t="shared" si="301"/>
        <v>0</v>
      </c>
      <c r="BA124" s="1805">
        <f t="shared" si="301"/>
        <v>0</v>
      </c>
      <c r="BB124" s="1805">
        <f t="shared" si="301"/>
        <v>0</v>
      </c>
      <c r="BC124" s="1805">
        <f t="shared" si="301"/>
        <v>0</v>
      </c>
      <c r="BD124" s="1805">
        <f t="shared" si="301"/>
        <v>0</v>
      </c>
      <c r="BE124" s="1805">
        <f t="shared" si="301"/>
        <v>0</v>
      </c>
      <c r="BF124" s="1808">
        <f t="shared" si="148"/>
        <v>0</v>
      </c>
      <c r="BG124" s="1808">
        <f t="shared" si="148"/>
        <v>0</v>
      </c>
      <c r="BH124" s="1808" t="e">
        <f t="shared" si="148"/>
        <v>#DIV/0!</v>
      </c>
      <c r="BI124" s="1808" t="e">
        <f t="shared" si="148"/>
        <v>#DIV/0!</v>
      </c>
      <c r="BJ124" s="1805">
        <f t="shared" si="199"/>
        <v>270666499.750866</v>
      </c>
      <c r="BK124" s="1813">
        <f t="shared" si="200"/>
        <v>133577846.7184557</v>
      </c>
      <c r="BL124" s="1815">
        <f t="shared" si="194"/>
        <v>0.49351451635650129</v>
      </c>
      <c r="BM124" s="1813">
        <f t="shared" si="195"/>
        <v>128023587.50468241</v>
      </c>
      <c r="BN124" s="1816">
        <f t="shared" si="180"/>
        <v>0.47299384158187752</v>
      </c>
      <c r="BO124" s="1805"/>
      <c r="BP124" s="1848"/>
      <c r="BQ124" s="1818"/>
      <c r="BR124" s="1819"/>
    </row>
    <row r="125" spans="1:70" ht="12.75" customHeight="1" thickBot="1">
      <c r="A125" s="1845" t="s">
        <v>2460</v>
      </c>
      <c r="B125" s="1821" t="s">
        <v>2461</v>
      </c>
      <c r="C125" s="1230" t="s">
        <v>597</v>
      </c>
      <c r="D125" s="1862">
        <v>1</v>
      </c>
      <c r="E125" s="1863">
        <v>1</v>
      </c>
      <c r="F125" s="1863">
        <v>1</v>
      </c>
      <c r="G125" s="1864">
        <v>1</v>
      </c>
      <c r="H125" s="1865">
        <v>0.76</v>
      </c>
      <c r="I125" s="1235">
        <v>0.9</v>
      </c>
      <c r="J125" s="1236"/>
      <c r="K125" s="1236"/>
      <c r="L125" s="1236"/>
      <c r="M125" s="1237"/>
      <c r="N125" s="1237"/>
      <c r="O125" s="1237"/>
      <c r="P125" s="1238">
        <f t="shared" ref="P125:S125" si="302">IF((H125+L125)/D125&gt;=100%,100%,(H125+L125)/D125)</f>
        <v>0.76</v>
      </c>
      <c r="Q125" s="1238">
        <f t="shared" si="302"/>
        <v>0.9</v>
      </c>
      <c r="R125" s="1238">
        <f t="shared" si="302"/>
        <v>0</v>
      </c>
      <c r="S125" s="1238">
        <f t="shared" si="302"/>
        <v>0</v>
      </c>
      <c r="T125" s="1866" t="s">
        <v>2462</v>
      </c>
      <c r="U125" s="1034">
        <v>46022</v>
      </c>
      <c r="V125" s="1035">
        <f>SUM(D125:G125)</f>
        <v>4</v>
      </c>
      <c r="W125" s="1035">
        <f>SUM(H125:N125)</f>
        <v>1.6600000000000001</v>
      </c>
      <c r="X125" s="1700">
        <f t="shared" ref="X125" si="303">IF(W125/V125&gt;=100%,100%,W125/V125)</f>
        <v>0.41500000000000004</v>
      </c>
      <c r="Y125" s="1241">
        <v>1</v>
      </c>
      <c r="Z125" s="1241">
        <v>1</v>
      </c>
      <c r="AA125" s="1241">
        <v>1</v>
      </c>
      <c r="AB125" s="1241">
        <v>1</v>
      </c>
      <c r="AC125" s="1241">
        <v>1</v>
      </c>
      <c r="AD125" s="1244">
        <f>46550000+27766499.750866</f>
        <v>74316499.750865996</v>
      </c>
      <c r="AE125" s="1244">
        <v>59850000</v>
      </c>
      <c r="AF125" s="1244">
        <v>66500000</v>
      </c>
      <c r="AG125" s="1244">
        <v>70000000</v>
      </c>
      <c r="AH125" s="1460">
        <f>46147663+27766499.7184557</f>
        <v>73914162.718455702</v>
      </c>
      <c r="AI125" s="1460">
        <v>59663684</v>
      </c>
      <c r="AJ125" s="1460"/>
      <c r="AK125" s="1460"/>
      <c r="AL125" s="1245">
        <f t="shared" si="146"/>
        <v>0.9945861681623992</v>
      </c>
      <c r="AM125" s="1245">
        <f t="shared" si="146"/>
        <v>0.99688695071010858</v>
      </c>
      <c r="AN125" s="1245">
        <f t="shared" si="146"/>
        <v>0</v>
      </c>
      <c r="AO125" s="1245">
        <f t="shared" si="146"/>
        <v>0</v>
      </c>
      <c r="AP125" s="1246">
        <f>45529131+25643981.4446824</f>
        <v>71173112.444682404</v>
      </c>
      <c r="AQ125" s="1247">
        <v>56850475.060000002</v>
      </c>
      <c r="AR125" s="1568"/>
      <c r="AS125" s="1248"/>
      <c r="AT125" s="1249">
        <f t="shared" si="147"/>
        <v>0.95770269971377442</v>
      </c>
      <c r="AU125" s="1249">
        <f t="shared" si="147"/>
        <v>0.9498826242272348</v>
      </c>
      <c r="AV125" s="1249">
        <f t="shared" si="147"/>
        <v>0</v>
      </c>
      <c r="AW125" s="1249">
        <f t="shared" si="147"/>
        <v>0</v>
      </c>
      <c r="AX125" s="1044">
        <f t="shared" ref="AX125:BA125" si="304">+AH125-AP125</f>
        <v>2741050.2737732977</v>
      </c>
      <c r="AY125" s="1044">
        <f t="shared" si="304"/>
        <v>2813208.9399999976</v>
      </c>
      <c r="AZ125" s="1044">
        <f t="shared" si="304"/>
        <v>0</v>
      </c>
      <c r="BA125" s="1044">
        <f t="shared" si="304"/>
        <v>0</v>
      </c>
      <c r="BB125" s="1460"/>
      <c r="BC125" s="1460"/>
      <c r="BD125" s="1460"/>
      <c r="BE125" s="1460"/>
      <c r="BF125" s="1251">
        <f t="shared" si="148"/>
        <v>0</v>
      </c>
      <c r="BG125" s="1251">
        <f t="shared" si="148"/>
        <v>0</v>
      </c>
      <c r="BH125" s="1251" t="e">
        <f t="shared" si="148"/>
        <v>#DIV/0!</v>
      </c>
      <c r="BI125" s="1251" t="e">
        <f t="shared" si="148"/>
        <v>#DIV/0!</v>
      </c>
      <c r="BJ125" s="1460">
        <f t="shared" si="199"/>
        <v>270666499.750866</v>
      </c>
      <c r="BK125" s="1539">
        <f t="shared" si="200"/>
        <v>133577846.7184557</v>
      </c>
      <c r="BL125" s="1540">
        <f t="shared" si="194"/>
        <v>0.49351451635650129</v>
      </c>
      <c r="BM125" s="1539">
        <f t="shared" si="195"/>
        <v>128023587.50468241</v>
      </c>
      <c r="BN125" s="1541">
        <f t="shared" si="180"/>
        <v>0.47299384158187752</v>
      </c>
      <c r="BO125" s="1113" t="s">
        <v>2438</v>
      </c>
      <c r="BP125" s="1461" t="s">
        <v>2449</v>
      </c>
      <c r="BQ125" s="1542" t="s">
        <v>2193</v>
      </c>
      <c r="BR125" s="1256" t="s">
        <v>596</v>
      </c>
    </row>
    <row r="126" spans="1:70" ht="12.75" customHeight="1" thickBot="1">
      <c r="A126" s="1804" t="s">
        <v>2463</v>
      </c>
      <c r="B126" s="1804"/>
      <c r="C126" s="1805"/>
      <c r="D126" s="1805"/>
      <c r="E126" s="1806"/>
      <c r="F126" s="1806"/>
      <c r="G126" s="1806"/>
      <c r="H126" s="1806"/>
      <c r="I126" s="1806"/>
      <c r="J126" s="1806"/>
      <c r="K126" s="1806"/>
      <c r="L126" s="1806"/>
      <c r="M126" s="1806"/>
      <c r="N126" s="1806"/>
      <c r="O126" s="1806"/>
      <c r="P126" s="1807">
        <f>+SUMPRODUCT(P127:P129,Z127:Z129)</f>
        <v>1</v>
      </c>
      <c r="Q126" s="1808">
        <f>+SUMPRODUCT(Q127:Q129,AA127:AA129)</f>
        <v>0.99199999999999999</v>
      </c>
      <c r="R126" s="1809">
        <f>+SUMPRODUCT(R127:R129,AB127:AB129)</f>
        <v>0</v>
      </c>
      <c r="S126" s="1809" t="e">
        <f>+SUMPRODUCT(S127:S129,AC127:AC129)</f>
        <v>#DIV/0!</v>
      </c>
      <c r="T126" s="1846"/>
      <c r="U126" s="1804"/>
      <c r="V126" s="1811"/>
      <c r="W126" s="1812"/>
      <c r="X126" s="1807">
        <f>+SUMPRODUCT(X127:X129,Y127:Y129)</f>
        <v>0.498</v>
      </c>
      <c r="Y126" s="1808">
        <v>0.1</v>
      </c>
      <c r="Z126" s="1808">
        <v>0.1</v>
      </c>
      <c r="AA126" s="1808">
        <v>0.1</v>
      </c>
      <c r="AB126" s="1808">
        <v>0.1</v>
      </c>
      <c r="AC126" s="1808">
        <v>0.1</v>
      </c>
      <c r="AD126" s="1805">
        <f>SUM(AD127:AD129)</f>
        <v>486130487.09213102</v>
      </c>
      <c r="AE126" s="1805">
        <f>SUM(AE127:AE129)</f>
        <v>811800000</v>
      </c>
      <c r="AF126" s="1805">
        <f t="shared" ref="AF126:AK126" si="305">SUM(AF127:AF129)</f>
        <v>941000000</v>
      </c>
      <c r="AG126" s="1805">
        <f t="shared" si="305"/>
        <v>490000000</v>
      </c>
      <c r="AH126" s="1805">
        <f t="shared" si="305"/>
        <v>483228317.88012397</v>
      </c>
      <c r="AI126" s="1813">
        <f t="shared" si="305"/>
        <v>793286352</v>
      </c>
      <c r="AJ126" s="1813">
        <f t="shared" si="305"/>
        <v>0</v>
      </c>
      <c r="AK126" s="1813">
        <f t="shared" si="305"/>
        <v>0</v>
      </c>
      <c r="AL126" s="1814">
        <f t="shared" si="146"/>
        <v>0.99403006129204763</v>
      </c>
      <c r="AM126" s="1814">
        <f t="shared" si="146"/>
        <v>0.97719432372505544</v>
      </c>
      <c r="AN126" s="1814">
        <f t="shared" si="146"/>
        <v>0</v>
      </c>
      <c r="AO126" s="1814">
        <f t="shared" si="146"/>
        <v>0</v>
      </c>
      <c r="AP126" s="1805">
        <f t="shared" ref="AP126:AS126" si="306">SUM(AP127:AP129)</f>
        <v>462737191.78852403</v>
      </c>
      <c r="AQ126" s="1805">
        <f t="shared" si="306"/>
        <v>504655093.58000004</v>
      </c>
      <c r="AR126" s="1805">
        <f t="shared" si="306"/>
        <v>0</v>
      </c>
      <c r="AS126" s="1805">
        <f t="shared" si="306"/>
        <v>0</v>
      </c>
      <c r="AT126" s="1814">
        <f t="shared" si="147"/>
        <v>0.95187856774106516</v>
      </c>
      <c r="AU126" s="1814">
        <f t="shared" si="147"/>
        <v>0.62164953631436315</v>
      </c>
      <c r="AV126" s="1814">
        <f t="shared" si="147"/>
        <v>0</v>
      </c>
      <c r="AW126" s="1814">
        <f t="shared" si="147"/>
        <v>0</v>
      </c>
      <c r="AX126" s="1805">
        <f t="shared" ref="AX126:BE126" si="307">SUM(AX127:AX129)</f>
        <v>20491126.091600001</v>
      </c>
      <c r="AY126" s="1805">
        <f t="shared" si="307"/>
        <v>288631258.42000002</v>
      </c>
      <c r="AZ126" s="1805">
        <f t="shared" si="307"/>
        <v>0</v>
      </c>
      <c r="BA126" s="1805">
        <f t="shared" si="307"/>
        <v>0</v>
      </c>
      <c r="BB126" s="1805">
        <f t="shared" si="307"/>
        <v>0</v>
      </c>
      <c r="BC126" s="1805">
        <f t="shared" si="307"/>
        <v>0</v>
      </c>
      <c r="BD126" s="1805">
        <f t="shared" si="307"/>
        <v>0</v>
      </c>
      <c r="BE126" s="1805">
        <f t="shared" si="307"/>
        <v>0</v>
      </c>
      <c r="BF126" s="1808">
        <f t="shared" si="148"/>
        <v>0</v>
      </c>
      <c r="BG126" s="1808">
        <f t="shared" si="148"/>
        <v>0</v>
      </c>
      <c r="BH126" s="1808" t="e">
        <f t="shared" si="148"/>
        <v>#DIV/0!</v>
      </c>
      <c r="BI126" s="1808" t="e">
        <f t="shared" si="148"/>
        <v>#DIV/0!</v>
      </c>
      <c r="BJ126" s="1805">
        <f t="shared" si="199"/>
        <v>2728930487.0921311</v>
      </c>
      <c r="BK126" s="1813">
        <f t="shared" si="200"/>
        <v>1276514669.8801241</v>
      </c>
      <c r="BL126" s="1815">
        <f t="shared" si="194"/>
        <v>0.46777104653931328</v>
      </c>
      <c r="BM126" s="1813">
        <f t="shared" si="195"/>
        <v>967392285.36852407</v>
      </c>
      <c r="BN126" s="1816">
        <f t="shared" si="180"/>
        <v>0.35449502651104503</v>
      </c>
      <c r="BO126" s="1805"/>
      <c r="BP126" s="1817"/>
      <c r="BQ126" s="1818"/>
      <c r="BR126" s="1819"/>
    </row>
    <row r="127" spans="1:70" ht="12.75" customHeight="1" thickBot="1">
      <c r="A127" s="1851" t="s">
        <v>2464</v>
      </c>
      <c r="B127" s="1867" t="s">
        <v>2465</v>
      </c>
      <c r="C127" s="1025" t="s">
        <v>2181</v>
      </c>
      <c r="D127" s="1790">
        <v>0</v>
      </c>
      <c r="E127" s="1791">
        <v>1</v>
      </c>
      <c r="F127" s="1791">
        <v>1</v>
      </c>
      <c r="G127" s="1792">
        <v>0</v>
      </c>
      <c r="H127" s="1627"/>
      <c r="I127" s="1030">
        <v>1</v>
      </c>
      <c r="J127" s="1030"/>
      <c r="K127" s="1030"/>
      <c r="L127" s="1030"/>
      <c r="M127" s="1031"/>
      <c r="N127" s="1031"/>
      <c r="O127" s="1031"/>
      <c r="P127" s="1032"/>
      <c r="Q127" s="1032">
        <f t="shared" ref="Q127:S129" si="308">IF((I127+M127)/E127&gt;=100%,100%,(I127+M127)/E127)</f>
        <v>1</v>
      </c>
      <c r="R127" s="1032">
        <f t="shared" si="308"/>
        <v>0</v>
      </c>
      <c r="S127" s="1032" t="e">
        <f t="shared" si="308"/>
        <v>#DIV/0!</v>
      </c>
      <c r="T127" s="1136" t="s">
        <v>2466</v>
      </c>
      <c r="U127" s="1034">
        <v>46022</v>
      </c>
      <c r="V127" s="1035">
        <f t="shared" ref="V127:V129" si="309">SUM(D127:G127)</f>
        <v>2</v>
      </c>
      <c r="W127" s="1035">
        <f t="shared" ref="W127:W129" si="310">SUM(H127:N127)</f>
        <v>1</v>
      </c>
      <c r="X127" s="1279">
        <f t="shared" ref="X127:X129" si="311">IF(W127/V127&gt;=100%,100%,W127/V127)</f>
        <v>0.5</v>
      </c>
      <c r="Y127" s="1037">
        <v>0.35</v>
      </c>
      <c r="Z127" s="1037">
        <v>0</v>
      </c>
      <c r="AA127" s="1037">
        <v>0.35</v>
      </c>
      <c r="AB127" s="1037">
        <v>0.35</v>
      </c>
      <c r="AC127" s="1037">
        <v>0.35</v>
      </c>
      <c r="AD127" s="1137"/>
      <c r="AE127" s="1137">
        <v>405000000</v>
      </c>
      <c r="AF127" s="1137">
        <v>475000000</v>
      </c>
      <c r="AG127" s="1137">
        <v>0</v>
      </c>
      <c r="AH127" s="1049"/>
      <c r="AI127" s="1049">
        <v>405000000</v>
      </c>
      <c r="AJ127" s="1049"/>
      <c r="AK127" s="1049"/>
      <c r="AL127" s="1112" t="e">
        <f t="shared" si="146"/>
        <v>#DIV/0!</v>
      </c>
      <c r="AM127" s="1112">
        <f t="shared" si="146"/>
        <v>1</v>
      </c>
      <c r="AN127" s="1112">
        <f t="shared" si="146"/>
        <v>0</v>
      </c>
      <c r="AO127" s="1112" t="e">
        <f t="shared" si="146"/>
        <v>#DIV/0!</v>
      </c>
      <c r="AP127" s="1138"/>
      <c r="AQ127" s="1041">
        <v>134085177.40000001</v>
      </c>
      <c r="AR127" s="1552"/>
      <c r="AS127" s="1042"/>
      <c r="AT127" s="1140" t="e">
        <f t="shared" si="147"/>
        <v>#DIV/0!</v>
      </c>
      <c r="AU127" s="1140">
        <f t="shared" si="147"/>
        <v>0.33107451209876543</v>
      </c>
      <c r="AV127" s="1140">
        <f t="shared" si="147"/>
        <v>0</v>
      </c>
      <c r="AW127" s="1140" t="e">
        <f t="shared" si="147"/>
        <v>#DIV/0!</v>
      </c>
      <c r="AX127" s="1044">
        <f t="shared" ref="AX127:BA129" si="312">+AH127-AP127</f>
        <v>0</v>
      </c>
      <c r="AY127" s="1044">
        <f t="shared" si="312"/>
        <v>270914822.60000002</v>
      </c>
      <c r="AZ127" s="1044">
        <f t="shared" si="312"/>
        <v>0</v>
      </c>
      <c r="BA127" s="1044">
        <f t="shared" si="312"/>
        <v>0</v>
      </c>
      <c r="BB127" s="1049"/>
      <c r="BC127" s="1049"/>
      <c r="BD127" s="1049"/>
      <c r="BE127" s="1049"/>
      <c r="BF127" s="1045" t="e">
        <f t="shared" si="148"/>
        <v>#DIV/0!</v>
      </c>
      <c r="BG127" s="1045">
        <f t="shared" si="148"/>
        <v>0</v>
      </c>
      <c r="BH127" s="1045" t="e">
        <f t="shared" si="148"/>
        <v>#DIV/0!</v>
      </c>
      <c r="BI127" s="1045" t="e">
        <f t="shared" si="148"/>
        <v>#DIV/0!</v>
      </c>
      <c r="BJ127" s="1049">
        <f t="shared" si="199"/>
        <v>880000000</v>
      </c>
      <c r="BK127" s="1141">
        <f t="shared" si="200"/>
        <v>405000000</v>
      </c>
      <c r="BL127" s="1142">
        <f t="shared" si="194"/>
        <v>0.46022727272727271</v>
      </c>
      <c r="BM127" s="1141">
        <f t="shared" si="195"/>
        <v>134085177.40000001</v>
      </c>
      <c r="BN127" s="1143">
        <f t="shared" si="180"/>
        <v>0.15236951977272728</v>
      </c>
      <c r="BO127" s="1049"/>
      <c r="BP127" s="1409" t="s">
        <v>2449</v>
      </c>
      <c r="BQ127" s="1794" t="s">
        <v>2193</v>
      </c>
      <c r="BR127" s="1146" t="s">
        <v>596</v>
      </c>
    </row>
    <row r="128" spans="1:70" ht="12.75" customHeight="1" thickBot="1">
      <c r="A128" s="1868" t="s">
        <v>2467</v>
      </c>
      <c r="B128" s="1869" t="s">
        <v>2468</v>
      </c>
      <c r="C128" s="1055" t="s">
        <v>2181</v>
      </c>
      <c r="D128" s="1870">
        <v>1</v>
      </c>
      <c r="E128" s="1871">
        <v>1</v>
      </c>
      <c r="F128" s="1871">
        <v>1</v>
      </c>
      <c r="G128" s="1872">
        <v>1</v>
      </c>
      <c r="H128" s="1659">
        <v>1</v>
      </c>
      <c r="I128" s="1060">
        <v>1</v>
      </c>
      <c r="J128" s="1060"/>
      <c r="K128" s="1060"/>
      <c r="L128" s="1060"/>
      <c r="M128" s="1061"/>
      <c r="N128" s="1061"/>
      <c r="O128" s="1061"/>
      <c r="P128" s="1062">
        <f t="shared" ref="P128:P129" si="313">IF((H128+L128)/D128&gt;=100%,100%,(H128+L128)/D128)</f>
        <v>1</v>
      </c>
      <c r="Q128" s="1062">
        <f t="shared" si="308"/>
        <v>1</v>
      </c>
      <c r="R128" s="1062">
        <f t="shared" si="308"/>
        <v>0</v>
      </c>
      <c r="S128" s="1062">
        <f t="shared" si="308"/>
        <v>0</v>
      </c>
      <c r="T128" s="1136" t="s">
        <v>2469</v>
      </c>
      <c r="U128" s="1034">
        <v>46022</v>
      </c>
      <c r="V128" s="1035">
        <f t="shared" si="309"/>
        <v>4</v>
      </c>
      <c r="W128" s="1035">
        <f t="shared" si="310"/>
        <v>2</v>
      </c>
      <c r="X128" s="1279">
        <f t="shared" si="311"/>
        <v>0.5</v>
      </c>
      <c r="Y128" s="1065">
        <v>0.55000000000000004</v>
      </c>
      <c r="Z128" s="1065">
        <v>0.75</v>
      </c>
      <c r="AA128" s="1065">
        <v>0.55000000000000004</v>
      </c>
      <c r="AB128" s="1065">
        <v>0.55000000000000004</v>
      </c>
      <c r="AC128" s="1065">
        <v>0.55000000000000004</v>
      </c>
      <c r="AD128" s="1066">
        <f>252000000+(181630487.092131*0.75)</f>
        <v>388222865.31909823</v>
      </c>
      <c r="AE128" s="1066">
        <v>333000000</v>
      </c>
      <c r="AF128" s="1066">
        <v>380000000</v>
      </c>
      <c r="AG128" s="1066">
        <v>400000000</v>
      </c>
      <c r="AH128" s="1075">
        <f>249391739+(181630486.880124*0.75)</f>
        <v>385614604.16009301</v>
      </c>
      <c r="AI128" s="1075">
        <v>314486352</v>
      </c>
      <c r="AJ128" s="1075"/>
      <c r="AK128" s="1075"/>
      <c r="AL128" s="1173">
        <f t="shared" si="146"/>
        <v>0.99328153647812223</v>
      </c>
      <c r="AM128" s="1173">
        <f t="shared" si="146"/>
        <v>0.94440345945945947</v>
      </c>
      <c r="AN128" s="1173">
        <f t="shared" si="146"/>
        <v>0</v>
      </c>
      <c r="AO128" s="1173">
        <f t="shared" si="146"/>
        <v>0</v>
      </c>
      <c r="AP128" s="1087">
        <f>243508367+(167746344.788524*0.75)</f>
        <v>369318125.59139299</v>
      </c>
      <c r="AQ128" s="1068">
        <v>299514979.04000002</v>
      </c>
      <c r="AR128" s="1560"/>
      <c r="AS128" s="1069"/>
      <c r="AT128" s="1140">
        <f t="shared" si="147"/>
        <v>0.95130441450900483</v>
      </c>
      <c r="AU128" s="1140">
        <f t="shared" si="147"/>
        <v>0.89944438150150152</v>
      </c>
      <c r="AV128" s="1140">
        <f t="shared" si="147"/>
        <v>0</v>
      </c>
      <c r="AW128" s="1140">
        <f t="shared" si="147"/>
        <v>0</v>
      </c>
      <c r="AX128" s="1044">
        <f t="shared" si="312"/>
        <v>16296478.568700016</v>
      </c>
      <c r="AY128" s="1044">
        <f t="shared" si="312"/>
        <v>14971372.959999979</v>
      </c>
      <c r="AZ128" s="1044">
        <f t="shared" si="312"/>
        <v>0</v>
      </c>
      <c r="BA128" s="1044">
        <f t="shared" si="312"/>
        <v>0</v>
      </c>
      <c r="BB128" s="1075"/>
      <c r="BC128" s="1075"/>
      <c r="BD128" s="1075"/>
      <c r="BE128" s="1075"/>
      <c r="BF128" s="1071">
        <f t="shared" si="148"/>
        <v>0</v>
      </c>
      <c r="BG128" s="1071">
        <f t="shared" si="148"/>
        <v>0</v>
      </c>
      <c r="BH128" s="1071" t="e">
        <f t="shared" si="148"/>
        <v>#DIV/0!</v>
      </c>
      <c r="BI128" s="1071" t="e">
        <f t="shared" si="148"/>
        <v>#DIV/0!</v>
      </c>
      <c r="BJ128" s="1075">
        <f t="shared" si="199"/>
        <v>1501222865.3190982</v>
      </c>
      <c r="BK128" s="1091">
        <f t="shared" si="200"/>
        <v>700100956.16009307</v>
      </c>
      <c r="BL128" s="1092">
        <f t="shared" si="194"/>
        <v>0.46635377886499246</v>
      </c>
      <c r="BM128" s="1091">
        <f t="shared" si="195"/>
        <v>668833104.63139296</v>
      </c>
      <c r="BN128" s="1093">
        <f t="shared" si="180"/>
        <v>0.44552552461238093</v>
      </c>
      <c r="BO128" s="1113" t="s">
        <v>2438</v>
      </c>
      <c r="BP128" s="1321" t="s">
        <v>2449</v>
      </c>
      <c r="BQ128" s="1873" t="s">
        <v>2193</v>
      </c>
      <c r="BR128" s="1083" t="s">
        <v>596</v>
      </c>
    </row>
    <row r="129" spans="1:70" ht="12.75" customHeight="1" thickBot="1">
      <c r="A129" s="1795" t="s">
        <v>2470</v>
      </c>
      <c r="B129" s="1796" t="s">
        <v>2471</v>
      </c>
      <c r="C129" s="1096" t="s">
        <v>597</v>
      </c>
      <c r="D129" s="1874">
        <v>1</v>
      </c>
      <c r="E129" s="1875">
        <v>1</v>
      </c>
      <c r="F129" s="1875">
        <v>1</v>
      </c>
      <c r="G129" s="1876">
        <v>1</v>
      </c>
      <c r="H129" s="1877">
        <v>1</v>
      </c>
      <c r="I129" s="1878">
        <v>0.92</v>
      </c>
      <c r="J129" s="1182"/>
      <c r="K129" s="1182"/>
      <c r="L129" s="1182"/>
      <c r="M129" s="1101"/>
      <c r="N129" s="1101"/>
      <c r="O129" s="1101"/>
      <c r="P129" s="1102">
        <f t="shared" si="313"/>
        <v>1</v>
      </c>
      <c r="Q129" s="1102">
        <f t="shared" si="308"/>
        <v>0.92</v>
      </c>
      <c r="R129" s="1102">
        <f t="shared" si="308"/>
        <v>0</v>
      </c>
      <c r="S129" s="1102">
        <f t="shared" si="308"/>
        <v>0</v>
      </c>
      <c r="T129" s="1686" t="s">
        <v>2472</v>
      </c>
      <c r="U129" s="1034">
        <v>46022</v>
      </c>
      <c r="V129" s="1035">
        <f t="shared" si="309"/>
        <v>4</v>
      </c>
      <c r="W129" s="1035">
        <f t="shared" si="310"/>
        <v>1.92</v>
      </c>
      <c r="X129" s="1279">
        <f t="shared" si="311"/>
        <v>0.48</v>
      </c>
      <c r="Y129" s="1104">
        <v>0.1</v>
      </c>
      <c r="Z129" s="1104">
        <v>0.25</v>
      </c>
      <c r="AA129" s="1104">
        <v>0.1</v>
      </c>
      <c r="AB129" s="1104">
        <v>0.1</v>
      </c>
      <c r="AC129" s="1104">
        <v>0.1</v>
      </c>
      <c r="AD129" s="1106">
        <f>52500000+(181630487.092131*0.25)</f>
        <v>97907621.773032755</v>
      </c>
      <c r="AE129" s="1106">
        <v>73800000</v>
      </c>
      <c r="AF129" s="1106">
        <v>86000000</v>
      </c>
      <c r="AG129" s="1106">
        <v>90000000</v>
      </c>
      <c r="AH129" s="1113">
        <f>52206092+(181630486.880124*0.25)</f>
        <v>97613713.720030993</v>
      </c>
      <c r="AI129" s="1113">
        <v>73800000</v>
      </c>
      <c r="AJ129" s="1113"/>
      <c r="AK129" s="1113"/>
      <c r="AL129" s="1295">
        <f t="shared" si="146"/>
        <v>0.99699810854681881</v>
      </c>
      <c r="AM129" s="1295">
        <f t="shared" si="146"/>
        <v>1</v>
      </c>
      <c r="AN129" s="1295">
        <f t="shared" si="146"/>
        <v>0</v>
      </c>
      <c r="AO129" s="1295">
        <f t="shared" si="146"/>
        <v>0</v>
      </c>
      <c r="AP129" s="1109">
        <f>51482480+(167746344.788524*0.25)</f>
        <v>93419066.197131008</v>
      </c>
      <c r="AQ129" s="1187">
        <v>71054937.140000001</v>
      </c>
      <c r="AR129" s="1567"/>
      <c r="AS129" s="1188"/>
      <c r="AT129" s="1189">
        <f t="shared" si="147"/>
        <v>0.95415519757688516</v>
      </c>
      <c r="AU129" s="1189">
        <f t="shared" si="147"/>
        <v>0.96280402628726292</v>
      </c>
      <c r="AV129" s="1189">
        <f t="shared" si="147"/>
        <v>0</v>
      </c>
      <c r="AW129" s="1189">
        <f t="shared" si="147"/>
        <v>0</v>
      </c>
      <c r="AX129" s="1044">
        <f t="shared" si="312"/>
        <v>4194647.5228999853</v>
      </c>
      <c r="AY129" s="1044">
        <f t="shared" si="312"/>
        <v>2745062.8599999994</v>
      </c>
      <c r="AZ129" s="1044">
        <f t="shared" si="312"/>
        <v>0</v>
      </c>
      <c r="BA129" s="1044">
        <f t="shared" si="312"/>
        <v>0</v>
      </c>
      <c r="BB129" s="1113"/>
      <c r="BC129" s="1113"/>
      <c r="BD129" s="1113"/>
      <c r="BE129" s="1113"/>
      <c r="BF129" s="1190">
        <f t="shared" si="148"/>
        <v>0</v>
      </c>
      <c r="BG129" s="1190">
        <f t="shared" si="148"/>
        <v>0</v>
      </c>
      <c r="BH129" s="1190" t="e">
        <f t="shared" si="148"/>
        <v>#DIV/0!</v>
      </c>
      <c r="BI129" s="1190" t="e">
        <f t="shared" si="148"/>
        <v>#DIV/0!</v>
      </c>
      <c r="BJ129" s="1113">
        <f t="shared" si="199"/>
        <v>347707621.77303278</v>
      </c>
      <c r="BK129" s="1484">
        <f t="shared" si="200"/>
        <v>171413713.72003099</v>
      </c>
      <c r="BL129" s="1485">
        <f t="shared" si="194"/>
        <v>0.49298233051653328</v>
      </c>
      <c r="BM129" s="1484">
        <f t="shared" si="195"/>
        <v>164474003.33713102</v>
      </c>
      <c r="BN129" s="1486">
        <f t="shared" si="180"/>
        <v>0.4730238655639592</v>
      </c>
      <c r="BO129" s="1113" t="s">
        <v>2438</v>
      </c>
      <c r="BP129" s="1461" t="s">
        <v>2449</v>
      </c>
      <c r="BQ129" s="1803" t="s">
        <v>2193</v>
      </c>
      <c r="BR129" s="1191" t="s">
        <v>596</v>
      </c>
    </row>
    <row r="130" spans="1:70" ht="12.75" customHeight="1" thickBot="1">
      <c r="A130" s="1804" t="s">
        <v>2473</v>
      </c>
      <c r="B130" s="1804"/>
      <c r="C130" s="1805"/>
      <c r="D130" s="1805"/>
      <c r="E130" s="1806"/>
      <c r="F130" s="1806"/>
      <c r="G130" s="1806"/>
      <c r="H130" s="1806"/>
      <c r="I130" s="1806"/>
      <c r="J130" s="1806"/>
      <c r="K130" s="1806"/>
      <c r="L130" s="1806"/>
      <c r="M130" s="1806"/>
      <c r="N130" s="1806"/>
      <c r="O130" s="1806"/>
      <c r="P130" s="1807">
        <f>+SUMPRODUCT(P131:P133,Z131:Z133)</f>
        <v>1</v>
      </c>
      <c r="Q130" s="1808">
        <f>+SUMPRODUCT(Q131:Q133,AA131:AA133)</f>
        <v>0.9285714285714286</v>
      </c>
      <c r="R130" s="1809" t="e">
        <f>+SUMPRODUCT(R131:R133,AB131:AB133)</f>
        <v>#DIV/0!</v>
      </c>
      <c r="S130" s="1809" t="e">
        <f>+SUMPRODUCT(S131:S133,AC131:AC133)</f>
        <v>#DIV/0!</v>
      </c>
      <c r="T130" s="1810"/>
      <c r="U130" s="1804"/>
      <c r="V130" s="1811"/>
      <c r="W130" s="1812"/>
      <c r="X130" s="1807">
        <f>+SUMPRODUCT(X131:X133,Y131:Y133)</f>
        <v>0.66158536585365857</v>
      </c>
      <c r="Y130" s="1808">
        <v>0.05</v>
      </c>
      <c r="Z130" s="1808">
        <v>0.05</v>
      </c>
      <c r="AA130" s="1808">
        <v>0.05</v>
      </c>
      <c r="AB130" s="1808">
        <v>0.05</v>
      </c>
      <c r="AC130" s="1808">
        <v>0.05</v>
      </c>
      <c r="AD130" s="1805">
        <f>SUM(AD131:AD133)</f>
        <v>731989584.01228905</v>
      </c>
      <c r="AE130" s="1805">
        <f>SUM(AE131:AE133)</f>
        <v>145800000</v>
      </c>
      <c r="AF130" s="1805">
        <f t="shared" ref="AF130:AG130" si="314">SUM(AF131:AF133)</f>
        <v>171000000</v>
      </c>
      <c r="AG130" s="1805">
        <f t="shared" si="314"/>
        <v>180000000</v>
      </c>
      <c r="AH130" s="1805">
        <f>SUM(AH131:AH133)</f>
        <v>728194057.69305992</v>
      </c>
      <c r="AI130" s="1813">
        <f t="shared" ref="AI130:AK130" si="315">SUM(AI131:AI133)</f>
        <v>91096658</v>
      </c>
      <c r="AJ130" s="1813">
        <f t="shared" si="315"/>
        <v>0</v>
      </c>
      <c r="AK130" s="1813">
        <f t="shared" si="315"/>
        <v>0</v>
      </c>
      <c r="AL130" s="1814">
        <f t="shared" si="146"/>
        <v>0.99481478097212184</v>
      </c>
      <c r="AM130" s="1814">
        <f t="shared" si="146"/>
        <v>0.62480561042524008</v>
      </c>
      <c r="AN130" s="1814">
        <f t="shared" si="146"/>
        <v>0</v>
      </c>
      <c r="AO130" s="1814">
        <f t="shared" si="146"/>
        <v>0</v>
      </c>
      <c r="AP130" s="1805">
        <f t="shared" ref="AP130:AS130" si="316">SUM(AP131:AP133)</f>
        <v>298106260.63559401</v>
      </c>
      <c r="AQ130" s="1805">
        <f t="shared" si="316"/>
        <v>78205547.370000005</v>
      </c>
      <c r="AR130" s="1805">
        <f t="shared" si="316"/>
        <v>0</v>
      </c>
      <c r="AS130" s="1805">
        <f t="shared" si="316"/>
        <v>0</v>
      </c>
      <c r="AT130" s="1814">
        <f t="shared" si="147"/>
        <v>0.40725478496779982</v>
      </c>
      <c r="AU130" s="1814">
        <f t="shared" si="147"/>
        <v>0.53638921378600823</v>
      </c>
      <c r="AV130" s="1814">
        <f t="shared" si="147"/>
        <v>0</v>
      </c>
      <c r="AW130" s="1814">
        <f t="shared" si="147"/>
        <v>0</v>
      </c>
      <c r="AX130" s="1805">
        <f t="shared" ref="AX130:BE130" si="317">SUM(AX131:AX133)</f>
        <v>430087797.05746597</v>
      </c>
      <c r="AY130" s="1805">
        <f t="shared" si="317"/>
        <v>12891110.630000003</v>
      </c>
      <c r="AZ130" s="1805">
        <f t="shared" si="317"/>
        <v>0</v>
      </c>
      <c r="BA130" s="1805">
        <f t="shared" si="317"/>
        <v>0</v>
      </c>
      <c r="BB130" s="1805">
        <f t="shared" si="317"/>
        <v>0</v>
      </c>
      <c r="BC130" s="1805">
        <f t="shared" si="317"/>
        <v>0</v>
      </c>
      <c r="BD130" s="1805">
        <f t="shared" si="317"/>
        <v>0</v>
      </c>
      <c r="BE130" s="1805">
        <f t="shared" si="317"/>
        <v>0</v>
      </c>
      <c r="BF130" s="1808">
        <f t="shared" si="148"/>
        <v>0</v>
      </c>
      <c r="BG130" s="1808">
        <f t="shared" si="148"/>
        <v>0</v>
      </c>
      <c r="BH130" s="1808" t="e">
        <f t="shared" si="148"/>
        <v>#DIV/0!</v>
      </c>
      <c r="BI130" s="1808" t="e">
        <f t="shared" si="148"/>
        <v>#DIV/0!</v>
      </c>
      <c r="BJ130" s="1805">
        <f t="shared" si="199"/>
        <v>1228789584.012289</v>
      </c>
      <c r="BK130" s="1813">
        <f t="shared" si="200"/>
        <v>819290715.69305992</v>
      </c>
      <c r="BL130" s="1815">
        <f t="shared" si="194"/>
        <v>0.66674614299535451</v>
      </c>
      <c r="BM130" s="1813">
        <f t="shared" si="195"/>
        <v>376311808.00559402</v>
      </c>
      <c r="BN130" s="1816">
        <f t="shared" si="180"/>
        <v>0.30624592924758265</v>
      </c>
      <c r="BO130" s="1805"/>
      <c r="BP130" s="1879"/>
      <c r="BQ130" s="1849"/>
      <c r="BR130" s="1850"/>
    </row>
    <row r="131" spans="1:70" ht="12.75" customHeight="1" thickBot="1">
      <c r="A131" s="1851" t="s">
        <v>2474</v>
      </c>
      <c r="B131" s="1867" t="s">
        <v>2475</v>
      </c>
      <c r="C131" s="1025" t="s">
        <v>2181</v>
      </c>
      <c r="D131" s="1790">
        <v>22</v>
      </c>
      <c r="E131" s="1791">
        <v>22</v>
      </c>
      <c r="F131" s="1791">
        <v>22</v>
      </c>
      <c r="G131" s="1792">
        <v>22</v>
      </c>
      <c r="H131" s="1627">
        <v>22</v>
      </c>
      <c r="I131" s="1030">
        <v>22</v>
      </c>
      <c r="J131" s="1030"/>
      <c r="K131" s="1030"/>
      <c r="L131" s="1030"/>
      <c r="M131" s="1031"/>
      <c r="N131" s="1031"/>
      <c r="O131" s="1031"/>
      <c r="P131" s="1032">
        <f t="shared" ref="P131:S133" si="318">IF((H131+L131)/D131&gt;=100%,100%,(H131+L131)/D131)</f>
        <v>1</v>
      </c>
      <c r="Q131" s="1032">
        <f t="shared" si="318"/>
        <v>1</v>
      </c>
      <c r="R131" s="1032">
        <f t="shared" si="318"/>
        <v>0</v>
      </c>
      <c r="S131" s="1032">
        <f t="shared" si="318"/>
        <v>0</v>
      </c>
      <c r="T131" s="1880" t="s">
        <v>2476</v>
      </c>
      <c r="U131" s="1034">
        <v>46022</v>
      </c>
      <c r="V131" s="1035">
        <f t="shared" ref="V131:V133" si="319">SUM(D131:G131)</f>
        <v>88</v>
      </c>
      <c r="W131" s="1035">
        <f t="shared" ref="W131:W133" si="320">SUM(H131:N131)</f>
        <v>44</v>
      </c>
      <c r="X131" s="1279">
        <f t="shared" ref="X131:X133" si="321">IF(W131/V131&gt;=100%,100%,W131/V131)</f>
        <v>0.5</v>
      </c>
      <c r="Y131" s="1037">
        <v>0.25</v>
      </c>
      <c r="Z131" s="1037">
        <v>0.35</v>
      </c>
      <c r="AA131" s="1037">
        <v>0.5</v>
      </c>
      <c r="AB131" s="1037">
        <v>0.5</v>
      </c>
      <c r="AC131" s="1037">
        <v>0.5</v>
      </c>
      <c r="AD131" s="1137">
        <f>33250000+(273489584.012289*0.35)</f>
        <v>128971354.40430114</v>
      </c>
      <c r="AE131" s="1137">
        <v>64800000</v>
      </c>
      <c r="AF131" s="1137">
        <v>76000000</v>
      </c>
      <c r="AG131" s="1137">
        <v>80000000</v>
      </c>
      <c r="AH131" s="1049">
        <f>31255751+(273489583.69306*0.35)</f>
        <v>126977105.29257099</v>
      </c>
      <c r="AI131" s="1049">
        <v>63457179</v>
      </c>
      <c r="AJ131" s="1049"/>
      <c r="AK131" s="1049"/>
      <c r="AL131" s="1039">
        <f t="shared" si="146"/>
        <v>0.98453727092390964</v>
      </c>
      <c r="AM131" s="1039">
        <f t="shared" si="146"/>
        <v>0.97927745370370367</v>
      </c>
      <c r="AN131" s="1039">
        <f t="shared" si="146"/>
        <v>0</v>
      </c>
      <c r="AO131" s="1039">
        <f t="shared" si="146"/>
        <v>0</v>
      </c>
      <c r="AP131" s="1138">
        <f>26295588+(252583576.635594*0.35)</f>
        <v>114699839.82245789</v>
      </c>
      <c r="AQ131" s="1041">
        <v>55878305.649999999</v>
      </c>
      <c r="AR131" s="1552"/>
      <c r="AS131" s="1042"/>
      <c r="AT131" s="1043">
        <f t="shared" si="147"/>
        <v>0.88934353176516467</v>
      </c>
      <c r="AU131" s="1043">
        <f t="shared" si="147"/>
        <v>0.86231953163580244</v>
      </c>
      <c r="AV131" s="1043">
        <f t="shared" si="147"/>
        <v>0</v>
      </c>
      <c r="AW131" s="1043">
        <f t="shared" si="147"/>
        <v>0</v>
      </c>
      <c r="AX131" s="1044">
        <f t="shared" ref="AX131:BA133" si="322">+AH131-AP131</f>
        <v>12277265.470113099</v>
      </c>
      <c r="AY131" s="1044">
        <f t="shared" si="322"/>
        <v>7578873.3500000015</v>
      </c>
      <c r="AZ131" s="1044">
        <f t="shared" si="322"/>
        <v>0</v>
      </c>
      <c r="BA131" s="1044">
        <f t="shared" si="322"/>
        <v>0</v>
      </c>
      <c r="BB131" s="1049"/>
      <c r="BC131" s="1049"/>
      <c r="BD131" s="1049"/>
      <c r="BE131" s="1049"/>
      <c r="BF131" s="1045">
        <f t="shared" si="148"/>
        <v>0</v>
      </c>
      <c r="BG131" s="1045">
        <f t="shared" si="148"/>
        <v>0</v>
      </c>
      <c r="BH131" s="1045" t="e">
        <f t="shared" si="148"/>
        <v>#DIV/0!</v>
      </c>
      <c r="BI131" s="1045" t="e">
        <f t="shared" si="148"/>
        <v>#DIV/0!</v>
      </c>
      <c r="BJ131" s="1049">
        <f t="shared" si="199"/>
        <v>349771354.40430117</v>
      </c>
      <c r="BK131" s="1141">
        <f t="shared" si="200"/>
        <v>190434284.29257101</v>
      </c>
      <c r="BL131" s="1142">
        <f t="shared" si="194"/>
        <v>0.54445363205029007</v>
      </c>
      <c r="BM131" s="1141">
        <f t="shared" si="195"/>
        <v>170578145.47245789</v>
      </c>
      <c r="BN131" s="1143">
        <f t="shared" si="180"/>
        <v>0.4876847212458868</v>
      </c>
      <c r="BO131" s="1113" t="s">
        <v>2438</v>
      </c>
      <c r="BP131" s="1512" t="s">
        <v>2449</v>
      </c>
      <c r="BQ131" s="1531" t="s">
        <v>2477</v>
      </c>
      <c r="BR131" s="1469" t="s">
        <v>2478</v>
      </c>
    </row>
    <row r="132" spans="1:70" ht="12.75" customHeight="1" thickBot="1">
      <c r="A132" s="1654" t="s">
        <v>2479</v>
      </c>
      <c r="B132" s="1869" t="s">
        <v>2480</v>
      </c>
      <c r="C132" s="1055" t="s">
        <v>2181</v>
      </c>
      <c r="D132" s="1870">
        <v>1</v>
      </c>
      <c r="E132" s="1871">
        <v>0</v>
      </c>
      <c r="F132" s="1871">
        <v>0</v>
      </c>
      <c r="G132" s="1872">
        <v>0</v>
      </c>
      <c r="H132" s="1659">
        <v>1</v>
      </c>
      <c r="I132" s="1060"/>
      <c r="J132" s="1060"/>
      <c r="K132" s="1060"/>
      <c r="L132" s="1060"/>
      <c r="M132" s="1061"/>
      <c r="N132" s="1061"/>
      <c r="O132" s="1061"/>
      <c r="P132" s="1062">
        <f t="shared" si="318"/>
        <v>1</v>
      </c>
      <c r="Q132" s="1062"/>
      <c r="R132" s="1062" t="e">
        <f t="shared" si="318"/>
        <v>#DIV/0!</v>
      </c>
      <c r="S132" s="1062" t="e">
        <f t="shared" si="318"/>
        <v>#DIV/0!</v>
      </c>
      <c r="T132" s="1669"/>
      <c r="U132" s="1034">
        <v>46022</v>
      </c>
      <c r="V132" s="1035">
        <f t="shared" si="319"/>
        <v>1</v>
      </c>
      <c r="W132" s="1035">
        <f t="shared" si="320"/>
        <v>1</v>
      </c>
      <c r="X132" s="1279">
        <f t="shared" si="321"/>
        <v>1</v>
      </c>
      <c r="Y132" s="1065">
        <v>0.5</v>
      </c>
      <c r="Z132" s="1065">
        <v>0.65</v>
      </c>
      <c r="AA132" s="1065">
        <v>0</v>
      </c>
      <c r="AB132" s="1065">
        <v>0</v>
      </c>
      <c r="AC132" s="1065">
        <v>0</v>
      </c>
      <c r="AD132" s="1066">
        <f>425250000+(273489584.012289*0.65)</f>
        <v>603018229.60798788</v>
      </c>
      <c r="AE132" s="1066"/>
      <c r="AF132" s="1066">
        <v>0</v>
      </c>
      <c r="AG132" s="1066">
        <v>0</v>
      </c>
      <c r="AH132" s="1075">
        <f>423448723+(273489583.69306*0.65)</f>
        <v>601216952.40048897</v>
      </c>
      <c r="AI132" s="1075"/>
      <c r="AJ132" s="1075"/>
      <c r="AK132" s="1075"/>
      <c r="AL132" s="1173">
        <f t="shared" si="146"/>
        <v>0.99701289758906642</v>
      </c>
      <c r="AM132" s="1173" t="e">
        <f t="shared" si="146"/>
        <v>#DIV/0!</v>
      </c>
      <c r="AN132" s="1173" t="e">
        <f t="shared" si="146"/>
        <v>#DIV/0!</v>
      </c>
      <c r="AO132" s="1173" t="e">
        <f t="shared" si="146"/>
        <v>#DIV/0!</v>
      </c>
      <c r="AP132" s="1087">
        <f>19227096+(252583576.635594*0.65)</f>
        <v>183406420.8131361</v>
      </c>
      <c r="AQ132" s="1068"/>
      <c r="AR132" s="1560"/>
      <c r="AS132" s="1069"/>
      <c r="AT132" s="1140">
        <f t="shared" si="147"/>
        <v>0.3041473902577797</v>
      </c>
      <c r="AU132" s="1140" t="e">
        <f t="shared" si="147"/>
        <v>#DIV/0!</v>
      </c>
      <c r="AV132" s="1140" t="e">
        <f t="shared" si="147"/>
        <v>#DIV/0!</v>
      </c>
      <c r="AW132" s="1140" t="e">
        <f t="shared" si="147"/>
        <v>#DIV/0!</v>
      </c>
      <c r="AX132" s="1044">
        <f t="shared" si="322"/>
        <v>417810531.58735287</v>
      </c>
      <c r="AY132" s="1044">
        <f t="shared" si="322"/>
        <v>0</v>
      </c>
      <c r="AZ132" s="1044">
        <f t="shared" si="322"/>
        <v>0</v>
      </c>
      <c r="BA132" s="1044">
        <f t="shared" si="322"/>
        <v>0</v>
      </c>
      <c r="BB132" s="1075"/>
      <c r="BC132" s="1075"/>
      <c r="BD132" s="1075"/>
      <c r="BE132" s="1075"/>
      <c r="BF132" s="1071">
        <f t="shared" si="148"/>
        <v>0</v>
      </c>
      <c r="BG132" s="1071" t="e">
        <f t="shared" si="148"/>
        <v>#DIV/0!</v>
      </c>
      <c r="BH132" s="1071" t="e">
        <f t="shared" si="148"/>
        <v>#DIV/0!</v>
      </c>
      <c r="BI132" s="1071" t="e">
        <f t="shared" si="148"/>
        <v>#DIV/0!</v>
      </c>
      <c r="BJ132" s="1075">
        <f t="shared" si="199"/>
        <v>603018229.60798788</v>
      </c>
      <c r="BK132" s="1091">
        <f t="shared" si="200"/>
        <v>601216952.40048897</v>
      </c>
      <c r="BL132" s="1092">
        <f t="shared" si="194"/>
        <v>0.99701289758906642</v>
      </c>
      <c r="BM132" s="1091">
        <f t="shared" si="195"/>
        <v>183406420.8131361</v>
      </c>
      <c r="BN132" s="1093">
        <f t="shared" si="180"/>
        <v>0.3041473902577797</v>
      </c>
      <c r="BO132" s="1113" t="s">
        <v>2438</v>
      </c>
      <c r="BP132" s="1321" t="s">
        <v>2449</v>
      </c>
      <c r="BQ132" s="1531" t="s">
        <v>2193</v>
      </c>
      <c r="BR132" s="1469" t="s">
        <v>2481</v>
      </c>
    </row>
    <row r="133" spans="1:70" ht="12.75" customHeight="1" thickBot="1">
      <c r="A133" s="1881" t="s">
        <v>2482</v>
      </c>
      <c r="B133" s="1796" t="s">
        <v>2483</v>
      </c>
      <c r="C133" s="1096" t="s">
        <v>597</v>
      </c>
      <c r="D133" s="1874">
        <v>0</v>
      </c>
      <c r="E133" s="1875">
        <v>0.35</v>
      </c>
      <c r="F133" s="1875">
        <v>0.7</v>
      </c>
      <c r="G133" s="1876">
        <v>1</v>
      </c>
      <c r="H133" s="1634"/>
      <c r="I133" s="1878">
        <v>0.3</v>
      </c>
      <c r="J133" s="1182"/>
      <c r="K133" s="1182"/>
      <c r="L133" s="1182"/>
      <c r="M133" s="1101"/>
      <c r="N133" s="1101"/>
      <c r="O133" s="1101"/>
      <c r="P133" s="1102"/>
      <c r="Q133" s="1102">
        <f t="shared" si="318"/>
        <v>0.85714285714285721</v>
      </c>
      <c r="R133" s="1102">
        <f t="shared" si="318"/>
        <v>0</v>
      </c>
      <c r="S133" s="1102">
        <f t="shared" si="318"/>
        <v>0</v>
      </c>
      <c r="T133" s="1158" t="s">
        <v>2484</v>
      </c>
      <c r="U133" s="1034">
        <v>46022</v>
      </c>
      <c r="V133" s="1035">
        <f t="shared" si="319"/>
        <v>2.0499999999999998</v>
      </c>
      <c r="W133" s="1035">
        <f t="shared" si="320"/>
        <v>0.3</v>
      </c>
      <c r="X133" s="1279">
        <f t="shared" si="321"/>
        <v>0.14634146341463417</v>
      </c>
      <c r="Y133" s="1104">
        <v>0.25</v>
      </c>
      <c r="Z133" s="1104">
        <v>0</v>
      </c>
      <c r="AA133" s="1104">
        <v>0.5</v>
      </c>
      <c r="AB133" s="1104">
        <v>0.5</v>
      </c>
      <c r="AC133" s="1104">
        <v>0.5</v>
      </c>
      <c r="AD133" s="1106">
        <v>0</v>
      </c>
      <c r="AE133" s="1106">
        <v>81000000</v>
      </c>
      <c r="AF133" s="1106">
        <v>95000000</v>
      </c>
      <c r="AG133" s="1106">
        <v>100000000</v>
      </c>
      <c r="AH133" s="1113">
        <v>0</v>
      </c>
      <c r="AI133" s="1113">
        <v>27639479</v>
      </c>
      <c r="AJ133" s="1113"/>
      <c r="AK133" s="1113"/>
      <c r="AL133" s="1112" t="e">
        <f t="shared" si="146"/>
        <v>#DIV/0!</v>
      </c>
      <c r="AM133" s="1112">
        <f t="shared" si="146"/>
        <v>0.34122813580246913</v>
      </c>
      <c r="AN133" s="1112">
        <f t="shared" si="146"/>
        <v>0</v>
      </c>
      <c r="AO133" s="1112">
        <f t="shared" si="146"/>
        <v>0</v>
      </c>
      <c r="AP133" s="1109"/>
      <c r="AQ133" s="1187">
        <v>22327241.719999999</v>
      </c>
      <c r="AR133" s="1567"/>
      <c r="AS133" s="1188"/>
      <c r="AT133" s="1140" t="e">
        <f t="shared" si="147"/>
        <v>#DIV/0!</v>
      </c>
      <c r="AU133" s="1140">
        <f t="shared" si="147"/>
        <v>0.27564495950617285</v>
      </c>
      <c r="AV133" s="1140">
        <f t="shared" si="147"/>
        <v>0</v>
      </c>
      <c r="AW133" s="1140">
        <f t="shared" si="147"/>
        <v>0</v>
      </c>
      <c r="AX133" s="1044">
        <f t="shared" si="322"/>
        <v>0</v>
      </c>
      <c r="AY133" s="1044">
        <f t="shared" si="322"/>
        <v>5312237.2800000012</v>
      </c>
      <c r="AZ133" s="1044">
        <f t="shared" si="322"/>
        <v>0</v>
      </c>
      <c r="BA133" s="1044">
        <f t="shared" si="322"/>
        <v>0</v>
      </c>
      <c r="BB133" s="1113"/>
      <c r="BC133" s="1113"/>
      <c r="BD133" s="1113"/>
      <c r="BE133" s="1113"/>
      <c r="BF133" s="1190" t="e">
        <f t="shared" si="148"/>
        <v>#DIV/0!</v>
      </c>
      <c r="BG133" s="1190">
        <f t="shared" si="148"/>
        <v>0</v>
      </c>
      <c r="BH133" s="1190" t="e">
        <f t="shared" si="148"/>
        <v>#DIV/0!</v>
      </c>
      <c r="BI133" s="1190" t="e">
        <f t="shared" si="148"/>
        <v>#DIV/0!</v>
      </c>
      <c r="BJ133" s="1113">
        <f t="shared" si="199"/>
        <v>276000000</v>
      </c>
      <c r="BK133" s="1484">
        <f t="shared" si="200"/>
        <v>27639479</v>
      </c>
      <c r="BL133" s="1485">
        <f t="shared" si="194"/>
        <v>0.10014303985507246</v>
      </c>
      <c r="BM133" s="1484">
        <f t="shared" si="195"/>
        <v>22327241.719999999</v>
      </c>
      <c r="BN133" s="1486">
        <f t="shared" si="180"/>
        <v>8.0895803333333335E-2</v>
      </c>
      <c r="BO133" s="1113"/>
      <c r="BP133" s="1435" t="s">
        <v>2449</v>
      </c>
      <c r="BQ133" s="1436" t="s">
        <v>2193</v>
      </c>
      <c r="BR133" s="1437" t="s">
        <v>2481</v>
      </c>
    </row>
    <row r="134" spans="1:70" ht="12.75" customHeight="1">
      <c r="A134" s="1827" t="s">
        <v>2485</v>
      </c>
      <c r="B134" s="1827"/>
      <c r="C134" s="1828"/>
      <c r="D134" s="1828"/>
      <c r="E134" s="1829"/>
      <c r="F134" s="1829"/>
      <c r="G134" s="1829"/>
      <c r="H134" s="1829"/>
      <c r="I134" s="1829"/>
      <c r="J134" s="1829"/>
      <c r="K134" s="1829"/>
      <c r="L134" s="1829"/>
      <c r="M134" s="1829"/>
      <c r="N134" s="1829"/>
      <c r="O134" s="1829"/>
      <c r="P134" s="1835">
        <f>+(P135*Z135)</f>
        <v>0.89149999999999996</v>
      </c>
      <c r="Q134" s="1835">
        <f>+(Q135*AA135)</f>
        <v>0.91209999999999991</v>
      </c>
      <c r="R134" s="1882">
        <f>+(R135*AB135)</f>
        <v>0</v>
      </c>
      <c r="S134" s="1882">
        <f>+(S135*AC135)</f>
        <v>0</v>
      </c>
      <c r="T134" s="1832"/>
      <c r="U134" s="1827"/>
      <c r="V134" s="1833"/>
      <c r="W134" s="1834"/>
      <c r="X134" s="1835">
        <f>+(X135*Y135)</f>
        <v>0.45089999999999997</v>
      </c>
      <c r="Y134" s="1836">
        <v>0.25</v>
      </c>
      <c r="Z134" s="1836">
        <v>0.25</v>
      </c>
      <c r="AA134" s="1836">
        <v>0.25</v>
      </c>
      <c r="AB134" s="1836">
        <v>0.25</v>
      </c>
      <c r="AC134" s="1836">
        <v>0.25</v>
      </c>
      <c r="AD134" s="1828">
        <f>+AD135</f>
        <v>2033366485.6646702</v>
      </c>
      <c r="AE134" s="1828">
        <f>+AE135</f>
        <v>2259900000</v>
      </c>
      <c r="AF134" s="1828">
        <f t="shared" ref="AF134:AK134" si="323">+AF135</f>
        <v>2110500000</v>
      </c>
      <c r="AG134" s="1828">
        <f t="shared" si="323"/>
        <v>2260000000</v>
      </c>
      <c r="AH134" s="1837">
        <f t="shared" si="323"/>
        <v>2004367482.7778978</v>
      </c>
      <c r="AI134" s="1828">
        <f t="shared" si="323"/>
        <v>2240898817.6599998</v>
      </c>
      <c r="AJ134" s="1828">
        <f t="shared" si="323"/>
        <v>0</v>
      </c>
      <c r="AK134" s="1828">
        <f t="shared" si="323"/>
        <v>0</v>
      </c>
      <c r="AL134" s="1831">
        <f t="shared" si="146"/>
        <v>0.98573842782832477</v>
      </c>
      <c r="AM134" s="1831">
        <f t="shared" si="146"/>
        <v>0.99159202516040523</v>
      </c>
      <c r="AN134" s="1831">
        <f t="shared" si="146"/>
        <v>0</v>
      </c>
      <c r="AO134" s="1831">
        <f t="shared" si="146"/>
        <v>0</v>
      </c>
      <c r="AP134" s="1828">
        <f t="shared" ref="AP134:AS134" si="324">+AP135</f>
        <v>1910572502.7533796</v>
      </c>
      <c r="AQ134" s="1828">
        <f t="shared" si="324"/>
        <v>1977658370.6399999</v>
      </c>
      <c r="AR134" s="1828">
        <f t="shared" si="324"/>
        <v>0</v>
      </c>
      <c r="AS134" s="1828">
        <f t="shared" si="324"/>
        <v>0</v>
      </c>
      <c r="AT134" s="1831">
        <f t="shared" si="147"/>
        <v>0.93961050121707324</v>
      </c>
      <c r="AU134" s="1831">
        <f t="shared" si="147"/>
        <v>0.87510879713261647</v>
      </c>
      <c r="AV134" s="1831">
        <f t="shared" si="147"/>
        <v>0</v>
      </c>
      <c r="AW134" s="1831">
        <f t="shared" si="147"/>
        <v>0</v>
      </c>
      <c r="AX134" s="1828">
        <f t="shared" ref="AX134:BE134" si="325">+AX135</f>
        <v>93794980.02451925</v>
      </c>
      <c r="AY134" s="1828">
        <f t="shared" si="325"/>
        <v>263240447.01999989</v>
      </c>
      <c r="AZ134" s="1828">
        <f t="shared" si="325"/>
        <v>0</v>
      </c>
      <c r="BA134" s="1828">
        <f t="shared" si="325"/>
        <v>0</v>
      </c>
      <c r="BB134" s="1828">
        <f t="shared" si="325"/>
        <v>0</v>
      </c>
      <c r="BC134" s="1828">
        <f t="shared" si="325"/>
        <v>0</v>
      </c>
      <c r="BD134" s="1828">
        <f t="shared" si="325"/>
        <v>0</v>
      </c>
      <c r="BE134" s="1828">
        <f t="shared" si="325"/>
        <v>0</v>
      </c>
      <c r="BF134" s="1836">
        <f t="shared" si="148"/>
        <v>0</v>
      </c>
      <c r="BG134" s="1836">
        <f t="shared" si="148"/>
        <v>0</v>
      </c>
      <c r="BH134" s="1836" t="e">
        <f t="shared" si="148"/>
        <v>#DIV/0!</v>
      </c>
      <c r="BI134" s="1836" t="e">
        <f t="shared" si="148"/>
        <v>#DIV/0!</v>
      </c>
      <c r="BJ134" s="1828">
        <f t="shared" si="199"/>
        <v>8663766485.664669</v>
      </c>
      <c r="BK134" s="1837">
        <f t="shared" si="200"/>
        <v>4245266300.4378977</v>
      </c>
      <c r="BL134" s="1838">
        <f t="shared" si="194"/>
        <v>0.4900023918537329</v>
      </c>
      <c r="BM134" s="1837">
        <f t="shared" si="195"/>
        <v>3888230873.3933792</v>
      </c>
      <c r="BN134" s="1839">
        <f t="shared" si="180"/>
        <v>0.44879220600266223</v>
      </c>
      <c r="BO134" s="1828"/>
      <c r="BP134" s="1840"/>
      <c r="BQ134" s="1841"/>
      <c r="BR134" s="1842"/>
    </row>
    <row r="135" spans="1:70" ht="12.75" customHeight="1" thickBot="1">
      <c r="A135" s="1772" t="s">
        <v>2486</v>
      </c>
      <c r="B135" s="1772"/>
      <c r="C135" s="1773"/>
      <c r="D135" s="1773"/>
      <c r="E135" s="1774"/>
      <c r="F135" s="1774"/>
      <c r="G135" s="1774"/>
      <c r="H135" s="1774"/>
      <c r="I135" s="1774"/>
      <c r="J135" s="1774"/>
      <c r="K135" s="1774"/>
      <c r="L135" s="1774"/>
      <c r="M135" s="1774"/>
      <c r="N135" s="1774"/>
      <c r="O135" s="1774"/>
      <c r="P135" s="1775">
        <f>+SUMPRODUCT(P136:P149,Z136:Z149)</f>
        <v>0.89149999999999996</v>
      </c>
      <c r="Q135" s="1776">
        <f>+SUMPRODUCT(Q136:Q149,AA136:AA149)</f>
        <v>0.91209999999999991</v>
      </c>
      <c r="R135" s="1777">
        <f>+SUMPRODUCT(R136:R149,AB136:AB149)</f>
        <v>0</v>
      </c>
      <c r="S135" s="1777">
        <f>+SUMPRODUCT(S136:S149,AC136:AC149)</f>
        <v>0</v>
      </c>
      <c r="T135" s="1843"/>
      <c r="U135" s="1883"/>
      <c r="V135" s="1779"/>
      <c r="W135" s="1780"/>
      <c r="X135" s="1775">
        <f>+SUMPRODUCT(X136:X149,Y136:Y149)</f>
        <v>0.45089999999999997</v>
      </c>
      <c r="Y135" s="1776">
        <v>1</v>
      </c>
      <c r="Z135" s="1776">
        <v>1</v>
      </c>
      <c r="AA135" s="1776">
        <v>1</v>
      </c>
      <c r="AB135" s="1776">
        <v>1</v>
      </c>
      <c r="AC135" s="1776">
        <v>1</v>
      </c>
      <c r="AD135" s="1773">
        <f>SUM(AD136:AD149)</f>
        <v>2033366485.6646702</v>
      </c>
      <c r="AE135" s="1773">
        <f>SUM(AE136:AE149)</f>
        <v>2259900000</v>
      </c>
      <c r="AF135" s="1773">
        <f t="shared" ref="AF135:AG135" si="326">SUM(AF136:AF149)</f>
        <v>2110500000</v>
      </c>
      <c r="AG135" s="1773">
        <f t="shared" si="326"/>
        <v>2260000000</v>
      </c>
      <c r="AH135" s="1773">
        <f>SUM(AH136:AH149)</f>
        <v>2004367482.7778978</v>
      </c>
      <c r="AI135" s="1773">
        <f t="shared" ref="AI135:AK135" si="327">SUM(AI136:AI149)</f>
        <v>2240898817.6599998</v>
      </c>
      <c r="AJ135" s="1773">
        <f t="shared" si="327"/>
        <v>0</v>
      </c>
      <c r="AK135" s="1773">
        <f t="shared" si="327"/>
        <v>0</v>
      </c>
      <c r="AL135" s="1781">
        <f t="shared" si="146"/>
        <v>0.98573842782832477</v>
      </c>
      <c r="AM135" s="1781">
        <f t="shared" si="146"/>
        <v>0.99159202516040523</v>
      </c>
      <c r="AN135" s="1781">
        <f t="shared" si="146"/>
        <v>0</v>
      </c>
      <c r="AO135" s="1781">
        <f t="shared" ref="AO135" si="328">+AK135/AG135</f>
        <v>0</v>
      </c>
      <c r="AP135" s="1773">
        <f>SUM(AP136:AP149)</f>
        <v>1910572502.7533796</v>
      </c>
      <c r="AQ135" s="1773">
        <f t="shared" ref="AQ135:AS135" si="329">SUM(AQ136:AQ149)</f>
        <v>1977658370.6399999</v>
      </c>
      <c r="AR135" s="1773">
        <f t="shared" si="329"/>
        <v>0</v>
      </c>
      <c r="AS135" s="1773">
        <f t="shared" si="329"/>
        <v>0</v>
      </c>
      <c r="AT135" s="1781">
        <f t="shared" si="147"/>
        <v>0.93961050121707324</v>
      </c>
      <c r="AU135" s="1781">
        <f t="shared" si="147"/>
        <v>0.87510879713261647</v>
      </c>
      <c r="AV135" s="1781">
        <f t="shared" si="147"/>
        <v>0</v>
      </c>
      <c r="AW135" s="1781">
        <f t="shared" ref="AW135:AW198" si="330">+AS135/AG135</f>
        <v>0</v>
      </c>
      <c r="AX135" s="1773">
        <f t="shared" ref="AX135:BE135" si="331">SUM(AX136:AX149)</f>
        <v>93794980.02451925</v>
      </c>
      <c r="AY135" s="1773">
        <f t="shared" si="331"/>
        <v>263240447.01999989</v>
      </c>
      <c r="AZ135" s="1773">
        <f t="shared" si="331"/>
        <v>0</v>
      </c>
      <c r="BA135" s="1773">
        <f t="shared" si="331"/>
        <v>0</v>
      </c>
      <c r="BB135" s="1773">
        <f t="shared" si="331"/>
        <v>0</v>
      </c>
      <c r="BC135" s="1773">
        <f t="shared" si="331"/>
        <v>0</v>
      </c>
      <c r="BD135" s="1773">
        <f t="shared" si="331"/>
        <v>0</v>
      </c>
      <c r="BE135" s="1773">
        <f t="shared" si="331"/>
        <v>0</v>
      </c>
      <c r="BF135" s="1776">
        <f t="shared" si="148"/>
        <v>0</v>
      </c>
      <c r="BG135" s="1776">
        <f t="shared" si="148"/>
        <v>0</v>
      </c>
      <c r="BH135" s="1776" t="e">
        <f t="shared" si="148"/>
        <v>#DIV/0!</v>
      </c>
      <c r="BI135" s="1776" t="e">
        <f t="shared" ref="BI135:BI198" si="332">+BE135/BA135</f>
        <v>#DIV/0!</v>
      </c>
      <c r="BJ135" s="1773">
        <f t="shared" si="199"/>
        <v>8663766485.664669</v>
      </c>
      <c r="BK135" s="1782">
        <f t="shared" si="200"/>
        <v>4245266300.4378977</v>
      </c>
      <c r="BL135" s="1783">
        <f t="shared" si="194"/>
        <v>0.4900023918537329</v>
      </c>
      <c r="BM135" s="1782">
        <f t="shared" si="195"/>
        <v>3888230873.3933792</v>
      </c>
      <c r="BN135" s="1784">
        <f t="shared" si="180"/>
        <v>0.44879220600266223</v>
      </c>
      <c r="BO135" s="1773"/>
      <c r="BP135" s="1884"/>
      <c r="BQ135" s="1885"/>
      <c r="BR135" s="1844"/>
    </row>
    <row r="136" spans="1:70" ht="12.75" customHeight="1" thickBot="1">
      <c r="A136" s="1622" t="s">
        <v>2487</v>
      </c>
      <c r="B136" s="1867" t="s">
        <v>2488</v>
      </c>
      <c r="C136" s="1274" t="s">
        <v>597</v>
      </c>
      <c r="D136" s="1886">
        <v>1</v>
      </c>
      <c r="E136" s="1887">
        <v>1</v>
      </c>
      <c r="F136" s="1887">
        <v>1</v>
      </c>
      <c r="G136" s="1888">
        <v>1</v>
      </c>
      <c r="H136" s="1344">
        <v>1</v>
      </c>
      <c r="I136" s="1043">
        <v>1</v>
      </c>
      <c r="J136" s="1030"/>
      <c r="K136" s="1030"/>
      <c r="L136" s="1030"/>
      <c r="M136" s="1031"/>
      <c r="N136" s="1031"/>
      <c r="O136" s="1031"/>
      <c r="P136" s="1032">
        <f t="shared" ref="P136:S149" si="333">IF((H136+L136)/D136&gt;=100%,100%,(H136+L136)/D136)</f>
        <v>1</v>
      </c>
      <c r="Q136" s="1032">
        <f t="shared" si="333"/>
        <v>1</v>
      </c>
      <c r="R136" s="1032">
        <f t="shared" si="333"/>
        <v>0</v>
      </c>
      <c r="S136" s="1032">
        <f t="shared" si="333"/>
        <v>0</v>
      </c>
      <c r="T136" s="1880" t="s">
        <v>2489</v>
      </c>
      <c r="U136" s="1034">
        <v>46022</v>
      </c>
      <c r="V136" s="1035">
        <f t="shared" ref="V136:V149" si="334">SUM(D136:G136)</f>
        <v>4</v>
      </c>
      <c r="W136" s="1035">
        <f t="shared" ref="W136:W149" si="335">SUM(H136:N136)</f>
        <v>2</v>
      </c>
      <c r="X136" s="1279">
        <f t="shared" ref="X136:X149" si="336">IF(W136/V136&gt;=100%,100%,W136/V136)</f>
        <v>0.5</v>
      </c>
      <c r="Y136" s="1037">
        <v>0.06</v>
      </c>
      <c r="Z136" s="1037">
        <v>0.06</v>
      </c>
      <c r="AA136" s="1037">
        <v>0.06</v>
      </c>
      <c r="AB136" s="1037">
        <v>0.06</v>
      </c>
      <c r="AC136" s="1037">
        <v>0.06</v>
      </c>
      <c r="AD136" s="1137">
        <f>428750000/5+(759716485.664671/14)</f>
        <v>140015463.2617622</v>
      </c>
      <c r="AE136" s="1137">
        <f>576000000/5</f>
        <v>115200000</v>
      </c>
      <c r="AF136" s="1137">
        <v>134000000</v>
      </c>
      <c r="AG136" s="1137">
        <v>140000000</v>
      </c>
      <c r="AH136" s="1137">
        <f>418244290/5+(759716484.777898/14)</f>
        <v>137914321.1984213</v>
      </c>
      <c r="AI136" s="1137">
        <f>575277382/5</f>
        <v>115055476.40000001</v>
      </c>
      <c r="AJ136" s="1137"/>
      <c r="AK136" s="1137"/>
      <c r="AL136" s="1039">
        <f t="shared" ref="AL136:AO199" si="337">+AH136/AD136</f>
        <v>0.98499349990070195</v>
      </c>
      <c r="AM136" s="1039">
        <f t="shared" si="337"/>
        <v>0.99874545486111121</v>
      </c>
      <c r="AN136" s="1039">
        <f t="shared" si="337"/>
        <v>0</v>
      </c>
      <c r="AO136" s="1039">
        <f t="shared" si="337"/>
        <v>0</v>
      </c>
      <c r="AP136" s="1138">
        <f>405104794/5+(701642469.753379/14)</f>
        <v>131138278.06809849</v>
      </c>
      <c r="AQ136" s="1041">
        <f>553252934.2/5</f>
        <v>110650586.84</v>
      </c>
      <c r="AR136" s="1552"/>
      <c r="AS136" s="1042"/>
      <c r="AT136" s="1043">
        <f t="shared" ref="AT136:AW199" si="338">+AP136/AD136</f>
        <v>0.93659853714108987</v>
      </c>
      <c r="AU136" s="1043">
        <f t="shared" si="338"/>
        <v>0.96050856631944448</v>
      </c>
      <c r="AV136" s="1043">
        <f t="shared" si="338"/>
        <v>0</v>
      </c>
      <c r="AW136" s="1043">
        <f t="shared" si="330"/>
        <v>0</v>
      </c>
      <c r="AX136" s="1044">
        <f t="shared" ref="AX136:BA149" si="339">+AH136-AP136</f>
        <v>6776043.130322814</v>
      </c>
      <c r="AY136" s="1044">
        <f t="shared" si="339"/>
        <v>4404889.5600000024</v>
      </c>
      <c r="AZ136" s="1044">
        <f t="shared" si="339"/>
        <v>0</v>
      </c>
      <c r="BA136" s="1044">
        <f t="shared" si="339"/>
        <v>0</v>
      </c>
      <c r="BB136" s="1283"/>
      <c r="BC136" s="1283"/>
      <c r="BD136" s="1283"/>
      <c r="BE136" s="1283"/>
      <c r="BF136" s="1045">
        <f t="shared" ref="BF136:BI199" si="340">+BB136/AX136</f>
        <v>0</v>
      </c>
      <c r="BG136" s="1045">
        <f t="shared" si="340"/>
        <v>0</v>
      </c>
      <c r="BH136" s="1045" t="e">
        <f t="shared" si="340"/>
        <v>#DIV/0!</v>
      </c>
      <c r="BI136" s="1045" t="e">
        <f t="shared" si="332"/>
        <v>#DIV/0!</v>
      </c>
      <c r="BJ136" s="1283">
        <f t="shared" si="199"/>
        <v>529215463.2617622</v>
      </c>
      <c r="BK136" s="1046">
        <f t="shared" si="200"/>
        <v>252969797.59842131</v>
      </c>
      <c r="BL136" s="1047">
        <f t="shared" si="194"/>
        <v>0.47800908166830453</v>
      </c>
      <c r="BM136" s="1046">
        <f t="shared" si="195"/>
        <v>241788864.90809849</v>
      </c>
      <c r="BN136" s="1048">
        <f t="shared" si="180"/>
        <v>0.45688170828920793</v>
      </c>
      <c r="BO136" s="1113" t="s">
        <v>2438</v>
      </c>
      <c r="BP136" s="1409" t="s">
        <v>2449</v>
      </c>
      <c r="BQ136" s="1531" t="s">
        <v>2490</v>
      </c>
      <c r="BR136" s="1146" t="s">
        <v>596</v>
      </c>
    </row>
    <row r="137" spans="1:70" ht="12.75" customHeight="1" thickBot="1">
      <c r="A137" s="1654" t="s">
        <v>2491</v>
      </c>
      <c r="B137" s="1869" t="s">
        <v>2492</v>
      </c>
      <c r="C137" s="1889" t="s">
        <v>597</v>
      </c>
      <c r="D137" s="1890">
        <v>1</v>
      </c>
      <c r="E137" s="1891">
        <v>1</v>
      </c>
      <c r="F137" s="1891">
        <v>1</v>
      </c>
      <c r="G137" s="1892">
        <v>1</v>
      </c>
      <c r="H137" s="1893">
        <v>0.98</v>
      </c>
      <c r="I137" s="2298">
        <v>0.98</v>
      </c>
      <c r="J137" s="1060"/>
      <c r="K137" s="1060"/>
      <c r="L137" s="1060"/>
      <c r="M137" s="1061"/>
      <c r="N137" s="1061"/>
      <c r="O137" s="1061"/>
      <c r="P137" s="2299">
        <f t="shared" si="333"/>
        <v>0.98</v>
      </c>
      <c r="Q137" s="1282">
        <f t="shared" si="333"/>
        <v>0.98</v>
      </c>
      <c r="R137" s="2299">
        <f t="shared" si="333"/>
        <v>0</v>
      </c>
      <c r="S137" s="2299">
        <f t="shared" si="333"/>
        <v>0</v>
      </c>
      <c r="T137" s="2156" t="s">
        <v>2841</v>
      </c>
      <c r="U137" s="1034">
        <v>46022</v>
      </c>
      <c r="V137" s="1035">
        <f t="shared" si="334"/>
        <v>4</v>
      </c>
      <c r="W137" s="1035">
        <f t="shared" si="335"/>
        <v>1.96</v>
      </c>
      <c r="X137" s="1279">
        <f t="shared" si="336"/>
        <v>0.49</v>
      </c>
      <c r="Y137" s="1065">
        <v>0.06</v>
      </c>
      <c r="Z137" s="1065">
        <v>0.06</v>
      </c>
      <c r="AA137" s="1065">
        <v>0.06</v>
      </c>
      <c r="AB137" s="1065">
        <v>0.06</v>
      </c>
      <c r="AC137" s="1065">
        <v>0.06</v>
      </c>
      <c r="AD137" s="1066">
        <f>428750000/5+(759716485.664671/14)</f>
        <v>140015463.2617622</v>
      </c>
      <c r="AE137" s="1137">
        <f t="shared" ref="AE137:AE140" si="341">576000000/5</f>
        <v>115200000</v>
      </c>
      <c r="AF137" s="1137">
        <v>134000000</v>
      </c>
      <c r="AG137" s="1137">
        <v>140000000</v>
      </c>
      <c r="AH137" s="1137">
        <f>418244290/5+(759716484.777898/14)</f>
        <v>137914321.1984213</v>
      </c>
      <c r="AI137" s="1137">
        <f t="shared" ref="AI137:AI140" si="342">575277382/5</f>
        <v>115055476.40000001</v>
      </c>
      <c r="AJ137" s="1137"/>
      <c r="AK137" s="1137"/>
      <c r="AL137" s="1173">
        <f t="shared" si="337"/>
        <v>0.98499349990070195</v>
      </c>
      <c r="AM137" s="1173">
        <f t="shared" si="337"/>
        <v>0.99874545486111121</v>
      </c>
      <c r="AN137" s="1173">
        <f t="shared" si="337"/>
        <v>0</v>
      </c>
      <c r="AO137" s="1173">
        <f t="shared" si="337"/>
        <v>0</v>
      </c>
      <c r="AP137" s="1138">
        <f>405104794/5+(701642469.753379/14)</f>
        <v>131138278.06809849</v>
      </c>
      <c r="AQ137" s="1041">
        <f t="shared" ref="AQ137:AQ140" si="343">553252934.2/5</f>
        <v>110650586.84</v>
      </c>
      <c r="AR137" s="1560"/>
      <c r="AS137" s="1069"/>
      <c r="AT137" s="1140">
        <f t="shared" si="338"/>
        <v>0.93659853714108987</v>
      </c>
      <c r="AU137" s="1140">
        <f t="shared" si="338"/>
        <v>0.96050856631944448</v>
      </c>
      <c r="AV137" s="1140">
        <f t="shared" si="338"/>
        <v>0</v>
      </c>
      <c r="AW137" s="1140">
        <f t="shared" si="330"/>
        <v>0</v>
      </c>
      <c r="AX137" s="1044">
        <f t="shared" si="339"/>
        <v>6776043.130322814</v>
      </c>
      <c r="AY137" s="1044">
        <f t="shared" si="339"/>
        <v>4404889.5600000024</v>
      </c>
      <c r="AZ137" s="1044">
        <f t="shared" si="339"/>
        <v>0</v>
      </c>
      <c r="BA137" s="1044">
        <f t="shared" si="339"/>
        <v>0</v>
      </c>
      <c r="BB137" s="1070"/>
      <c r="BC137" s="1070"/>
      <c r="BD137" s="1070"/>
      <c r="BE137" s="1070"/>
      <c r="BF137" s="1071">
        <f t="shared" si="340"/>
        <v>0</v>
      </c>
      <c r="BG137" s="1071">
        <f t="shared" si="340"/>
        <v>0</v>
      </c>
      <c r="BH137" s="1071" t="e">
        <f t="shared" si="340"/>
        <v>#DIV/0!</v>
      </c>
      <c r="BI137" s="1071" t="e">
        <f t="shared" si="332"/>
        <v>#DIV/0!</v>
      </c>
      <c r="BJ137" s="1070">
        <f t="shared" si="199"/>
        <v>529215463.2617622</v>
      </c>
      <c r="BK137" s="1072">
        <f t="shared" si="200"/>
        <v>252969797.59842131</v>
      </c>
      <c r="BL137" s="1073">
        <f t="shared" si="194"/>
        <v>0.47800908166830453</v>
      </c>
      <c r="BM137" s="1072">
        <f t="shared" si="195"/>
        <v>241788864.90809849</v>
      </c>
      <c r="BN137" s="1074">
        <f t="shared" si="180"/>
        <v>0.45688170828920793</v>
      </c>
      <c r="BO137" s="1113" t="s">
        <v>2438</v>
      </c>
      <c r="BP137" s="1321" t="s">
        <v>2449</v>
      </c>
      <c r="BQ137" s="1531" t="s">
        <v>2490</v>
      </c>
      <c r="BR137" s="1083" t="s">
        <v>596</v>
      </c>
    </row>
    <row r="138" spans="1:70" ht="12.75" customHeight="1" thickBot="1">
      <c r="A138" s="1654" t="s">
        <v>2493</v>
      </c>
      <c r="B138" s="1869" t="s">
        <v>2494</v>
      </c>
      <c r="C138" s="1889" t="s">
        <v>597</v>
      </c>
      <c r="D138" s="1890">
        <v>1</v>
      </c>
      <c r="E138" s="1891">
        <v>1</v>
      </c>
      <c r="F138" s="1891">
        <v>1</v>
      </c>
      <c r="G138" s="1892">
        <v>1</v>
      </c>
      <c r="H138" s="1893">
        <v>1</v>
      </c>
      <c r="I138" s="2298">
        <v>0.89</v>
      </c>
      <c r="J138" s="1060"/>
      <c r="K138" s="1060"/>
      <c r="L138" s="1060"/>
      <c r="M138" s="1061"/>
      <c r="N138" s="1061"/>
      <c r="O138" s="1061"/>
      <c r="P138" s="2299">
        <f t="shared" si="333"/>
        <v>1</v>
      </c>
      <c r="Q138" s="2299">
        <f t="shared" si="333"/>
        <v>0.89</v>
      </c>
      <c r="R138" s="2299">
        <f t="shared" si="333"/>
        <v>0</v>
      </c>
      <c r="S138" s="2299">
        <f t="shared" si="333"/>
        <v>0</v>
      </c>
      <c r="T138" s="2156" t="s">
        <v>2842</v>
      </c>
      <c r="U138" s="1034">
        <v>46022</v>
      </c>
      <c r="V138" s="1035">
        <f t="shared" si="334"/>
        <v>4</v>
      </c>
      <c r="W138" s="1035">
        <f t="shared" si="335"/>
        <v>1.8900000000000001</v>
      </c>
      <c r="X138" s="1279">
        <f t="shared" si="336"/>
        <v>0.47250000000000003</v>
      </c>
      <c r="Y138" s="1065">
        <v>0.06</v>
      </c>
      <c r="Z138" s="1065">
        <v>0.06</v>
      </c>
      <c r="AA138" s="1065">
        <v>0.06</v>
      </c>
      <c r="AB138" s="1065">
        <v>0.06</v>
      </c>
      <c r="AC138" s="1065">
        <v>0.06</v>
      </c>
      <c r="AD138" s="1066">
        <f>(428750000/5)+(759716485.664671/14)</f>
        <v>140015463.2617622</v>
      </c>
      <c r="AE138" s="1137">
        <f t="shared" si="341"/>
        <v>115200000</v>
      </c>
      <c r="AF138" s="1137">
        <v>134000000</v>
      </c>
      <c r="AG138" s="1137">
        <v>140000000</v>
      </c>
      <c r="AH138" s="1137">
        <f>418244290/5+(759716484.777898/14)</f>
        <v>137914321.1984213</v>
      </c>
      <c r="AI138" s="1137">
        <f t="shared" si="342"/>
        <v>115055476.40000001</v>
      </c>
      <c r="AJ138" s="1137"/>
      <c r="AK138" s="1137"/>
      <c r="AL138" s="1173">
        <f t="shared" si="337"/>
        <v>0.98499349990070195</v>
      </c>
      <c r="AM138" s="1173">
        <f t="shared" si="337"/>
        <v>0.99874545486111121</v>
      </c>
      <c r="AN138" s="1173">
        <f t="shared" si="337"/>
        <v>0</v>
      </c>
      <c r="AO138" s="1173">
        <f t="shared" si="337"/>
        <v>0</v>
      </c>
      <c r="AP138" s="1138">
        <f>405104794/5+(701642469.753379/14)</f>
        <v>131138278.06809849</v>
      </c>
      <c r="AQ138" s="1041">
        <f t="shared" si="343"/>
        <v>110650586.84</v>
      </c>
      <c r="AR138" s="1560"/>
      <c r="AS138" s="1069"/>
      <c r="AT138" s="1140">
        <f t="shared" si="338"/>
        <v>0.93659853714108987</v>
      </c>
      <c r="AU138" s="1140">
        <f t="shared" si="338"/>
        <v>0.96050856631944448</v>
      </c>
      <c r="AV138" s="1140">
        <f t="shared" si="338"/>
        <v>0</v>
      </c>
      <c r="AW138" s="1140">
        <f t="shared" si="330"/>
        <v>0</v>
      </c>
      <c r="AX138" s="1044">
        <f t="shared" si="339"/>
        <v>6776043.130322814</v>
      </c>
      <c r="AY138" s="1044">
        <f t="shared" si="339"/>
        <v>4404889.5600000024</v>
      </c>
      <c r="AZ138" s="1044">
        <f t="shared" si="339"/>
        <v>0</v>
      </c>
      <c r="BA138" s="1044">
        <f t="shared" si="339"/>
        <v>0</v>
      </c>
      <c r="BB138" s="1070"/>
      <c r="BC138" s="1070"/>
      <c r="BD138" s="1070"/>
      <c r="BE138" s="1070"/>
      <c r="BF138" s="1071">
        <f t="shared" si="340"/>
        <v>0</v>
      </c>
      <c r="BG138" s="1071">
        <f t="shared" si="340"/>
        <v>0</v>
      </c>
      <c r="BH138" s="1071" t="e">
        <f t="shared" si="340"/>
        <v>#DIV/0!</v>
      </c>
      <c r="BI138" s="1071" t="e">
        <f t="shared" si="332"/>
        <v>#DIV/0!</v>
      </c>
      <c r="BJ138" s="1070">
        <f t="shared" si="199"/>
        <v>529215463.2617622</v>
      </c>
      <c r="BK138" s="1072">
        <f t="shared" si="200"/>
        <v>252969797.59842131</v>
      </c>
      <c r="BL138" s="1073">
        <f t="shared" si="194"/>
        <v>0.47800908166830453</v>
      </c>
      <c r="BM138" s="1072">
        <f t="shared" si="195"/>
        <v>241788864.90809849</v>
      </c>
      <c r="BN138" s="1074">
        <f t="shared" si="180"/>
        <v>0.45688170828920793</v>
      </c>
      <c r="BO138" s="1113" t="s">
        <v>2438</v>
      </c>
      <c r="BP138" s="1321" t="s">
        <v>2449</v>
      </c>
      <c r="BQ138" s="1531" t="s">
        <v>2490</v>
      </c>
      <c r="BR138" s="1083" t="s">
        <v>596</v>
      </c>
    </row>
    <row r="139" spans="1:70" ht="12.75" customHeight="1" thickBot="1">
      <c r="A139" s="1895" t="s">
        <v>2495</v>
      </c>
      <c r="B139" s="1869" t="s">
        <v>2496</v>
      </c>
      <c r="C139" s="1896" t="s">
        <v>597</v>
      </c>
      <c r="D139" s="1890">
        <v>1</v>
      </c>
      <c r="E139" s="1891">
        <v>1</v>
      </c>
      <c r="F139" s="1891">
        <v>1</v>
      </c>
      <c r="G139" s="1892">
        <v>1</v>
      </c>
      <c r="H139" s="1893">
        <v>1</v>
      </c>
      <c r="I139" s="2298">
        <v>0.81</v>
      </c>
      <c r="J139" s="1060"/>
      <c r="K139" s="1060"/>
      <c r="L139" s="1060"/>
      <c r="M139" s="1061"/>
      <c r="N139" s="1061"/>
      <c r="O139" s="1061"/>
      <c r="P139" s="2299">
        <f t="shared" si="333"/>
        <v>1</v>
      </c>
      <c r="Q139" s="2299">
        <f t="shared" si="333"/>
        <v>0.81</v>
      </c>
      <c r="R139" s="2299">
        <f t="shared" si="333"/>
        <v>0</v>
      </c>
      <c r="S139" s="2299">
        <f t="shared" si="333"/>
        <v>0</v>
      </c>
      <c r="T139" s="2156" t="s">
        <v>2843</v>
      </c>
      <c r="U139" s="1034">
        <v>46022</v>
      </c>
      <c r="V139" s="1035">
        <f t="shared" si="334"/>
        <v>4</v>
      </c>
      <c r="W139" s="1035">
        <f t="shared" si="335"/>
        <v>1.81</v>
      </c>
      <c r="X139" s="1279">
        <f t="shared" si="336"/>
        <v>0.45250000000000001</v>
      </c>
      <c r="Y139" s="1065">
        <v>0.06</v>
      </c>
      <c r="Z139" s="1065">
        <v>0.06</v>
      </c>
      <c r="AA139" s="1065">
        <v>0.06</v>
      </c>
      <c r="AB139" s="1065">
        <v>0.06</v>
      </c>
      <c r="AC139" s="1065">
        <v>0.06</v>
      </c>
      <c r="AD139" s="1066">
        <f>428750000/5+(759716485.664671/14)</f>
        <v>140015463.2617622</v>
      </c>
      <c r="AE139" s="1137">
        <f t="shared" si="341"/>
        <v>115200000</v>
      </c>
      <c r="AF139" s="1137">
        <v>134000000</v>
      </c>
      <c r="AG139" s="1137">
        <v>140000000</v>
      </c>
      <c r="AH139" s="1137">
        <f>418244290/5+(759716484.777898/14)</f>
        <v>137914321.1984213</v>
      </c>
      <c r="AI139" s="1137">
        <f t="shared" si="342"/>
        <v>115055476.40000001</v>
      </c>
      <c r="AJ139" s="1137"/>
      <c r="AK139" s="1137"/>
      <c r="AL139" s="1173">
        <f t="shared" si="337"/>
        <v>0.98499349990070195</v>
      </c>
      <c r="AM139" s="1173">
        <f t="shared" si="337"/>
        <v>0.99874545486111121</v>
      </c>
      <c r="AN139" s="1173">
        <f t="shared" si="337"/>
        <v>0</v>
      </c>
      <c r="AO139" s="1173">
        <f t="shared" si="337"/>
        <v>0</v>
      </c>
      <c r="AP139" s="1138">
        <f>405104794/5+(701642469.753379/14)</f>
        <v>131138278.06809849</v>
      </c>
      <c r="AQ139" s="1041">
        <f t="shared" si="343"/>
        <v>110650586.84</v>
      </c>
      <c r="AR139" s="1560"/>
      <c r="AS139" s="1069"/>
      <c r="AT139" s="1140">
        <f t="shared" si="338"/>
        <v>0.93659853714108987</v>
      </c>
      <c r="AU139" s="1140">
        <f t="shared" si="338"/>
        <v>0.96050856631944448</v>
      </c>
      <c r="AV139" s="1140">
        <f t="shared" si="338"/>
        <v>0</v>
      </c>
      <c r="AW139" s="1140">
        <f t="shared" si="330"/>
        <v>0</v>
      </c>
      <c r="AX139" s="1044">
        <f t="shared" si="339"/>
        <v>6776043.130322814</v>
      </c>
      <c r="AY139" s="1044">
        <f t="shared" si="339"/>
        <v>4404889.5600000024</v>
      </c>
      <c r="AZ139" s="1044">
        <f t="shared" si="339"/>
        <v>0</v>
      </c>
      <c r="BA139" s="1044">
        <f t="shared" si="339"/>
        <v>0</v>
      </c>
      <c r="BB139" s="1070"/>
      <c r="BC139" s="1070"/>
      <c r="BD139" s="1070"/>
      <c r="BE139" s="1070"/>
      <c r="BF139" s="1071">
        <f t="shared" si="340"/>
        <v>0</v>
      </c>
      <c r="BG139" s="1071">
        <f t="shared" si="340"/>
        <v>0</v>
      </c>
      <c r="BH139" s="1071" t="e">
        <f t="shared" si="340"/>
        <v>#DIV/0!</v>
      </c>
      <c r="BI139" s="1071" t="e">
        <f t="shared" si="332"/>
        <v>#DIV/0!</v>
      </c>
      <c r="BJ139" s="1070">
        <f t="shared" si="199"/>
        <v>529215463.2617622</v>
      </c>
      <c r="BK139" s="1072">
        <f t="shared" si="200"/>
        <v>252969797.59842131</v>
      </c>
      <c r="BL139" s="1073">
        <f t="shared" si="194"/>
        <v>0.47800908166830453</v>
      </c>
      <c r="BM139" s="1072">
        <f t="shared" si="195"/>
        <v>241788864.90809849</v>
      </c>
      <c r="BN139" s="1074">
        <f t="shared" si="180"/>
        <v>0.45688170828920793</v>
      </c>
      <c r="BO139" s="1113" t="s">
        <v>2438</v>
      </c>
      <c r="BP139" s="1321" t="s">
        <v>2449</v>
      </c>
      <c r="BQ139" s="1531" t="s">
        <v>2490</v>
      </c>
      <c r="BR139" s="1083" t="s">
        <v>596</v>
      </c>
    </row>
    <row r="140" spans="1:70" ht="12.75" customHeight="1" thickBot="1">
      <c r="A140" s="1654" t="s">
        <v>2497</v>
      </c>
      <c r="B140" s="1869" t="s">
        <v>2498</v>
      </c>
      <c r="C140" s="1889" t="s">
        <v>597</v>
      </c>
      <c r="D140" s="1890">
        <v>1</v>
      </c>
      <c r="E140" s="1891">
        <v>1</v>
      </c>
      <c r="F140" s="1891">
        <v>1</v>
      </c>
      <c r="G140" s="1897">
        <v>1</v>
      </c>
      <c r="H140" s="1893">
        <v>1</v>
      </c>
      <c r="I140" s="2298">
        <v>0.4</v>
      </c>
      <c r="J140" s="1060"/>
      <c r="K140" s="1060"/>
      <c r="L140" s="1060"/>
      <c r="M140" s="1061"/>
      <c r="N140" s="1061"/>
      <c r="O140" s="1061"/>
      <c r="P140" s="2299">
        <f t="shared" si="333"/>
        <v>1</v>
      </c>
      <c r="Q140" s="2299">
        <f t="shared" si="333"/>
        <v>0.4</v>
      </c>
      <c r="R140" s="2299">
        <f t="shared" si="333"/>
        <v>0</v>
      </c>
      <c r="S140" s="2299">
        <f t="shared" si="333"/>
        <v>0</v>
      </c>
      <c r="T140" s="2156" t="s">
        <v>2844</v>
      </c>
      <c r="U140" s="1034">
        <v>46022</v>
      </c>
      <c r="V140" s="1035">
        <f t="shared" si="334"/>
        <v>4</v>
      </c>
      <c r="W140" s="1035">
        <f t="shared" si="335"/>
        <v>1.4</v>
      </c>
      <c r="X140" s="1279">
        <f t="shared" si="336"/>
        <v>0.35</v>
      </c>
      <c r="Y140" s="1065">
        <v>0.06</v>
      </c>
      <c r="Z140" s="1065">
        <v>0.06</v>
      </c>
      <c r="AA140" s="1065">
        <v>0.06</v>
      </c>
      <c r="AB140" s="1065">
        <v>0.06</v>
      </c>
      <c r="AC140" s="1065">
        <v>0.06</v>
      </c>
      <c r="AD140" s="1066">
        <f>428750000/5+(759716485.664671/14)</f>
        <v>140015463.2617622</v>
      </c>
      <c r="AE140" s="1137">
        <f t="shared" si="341"/>
        <v>115200000</v>
      </c>
      <c r="AF140" s="1137">
        <v>134000000</v>
      </c>
      <c r="AG140" s="1137">
        <v>140000000</v>
      </c>
      <c r="AH140" s="1137">
        <f>418244290/5+(759716484.777898/14)</f>
        <v>137914321.1984213</v>
      </c>
      <c r="AI140" s="1137">
        <f t="shared" si="342"/>
        <v>115055476.40000001</v>
      </c>
      <c r="AJ140" s="1137"/>
      <c r="AK140" s="1137"/>
      <c r="AL140" s="1173">
        <f t="shared" si="337"/>
        <v>0.98499349990070195</v>
      </c>
      <c r="AM140" s="1173">
        <f t="shared" si="337"/>
        <v>0.99874545486111121</v>
      </c>
      <c r="AN140" s="1173">
        <f t="shared" si="337"/>
        <v>0</v>
      </c>
      <c r="AO140" s="1173">
        <f t="shared" si="337"/>
        <v>0</v>
      </c>
      <c r="AP140" s="1138">
        <f>405104794/5+(701642469.753379/14)</f>
        <v>131138278.06809849</v>
      </c>
      <c r="AQ140" s="1041">
        <f t="shared" si="343"/>
        <v>110650586.84</v>
      </c>
      <c r="AR140" s="1560"/>
      <c r="AS140" s="1069"/>
      <c r="AT140" s="1140">
        <f t="shared" si="338"/>
        <v>0.93659853714108987</v>
      </c>
      <c r="AU140" s="1140">
        <f t="shared" si="338"/>
        <v>0.96050856631944448</v>
      </c>
      <c r="AV140" s="1140">
        <f t="shared" si="338"/>
        <v>0</v>
      </c>
      <c r="AW140" s="1140">
        <f t="shared" si="330"/>
        <v>0</v>
      </c>
      <c r="AX140" s="1044">
        <f t="shared" si="339"/>
        <v>6776043.130322814</v>
      </c>
      <c r="AY140" s="1044">
        <f t="shared" si="339"/>
        <v>4404889.5600000024</v>
      </c>
      <c r="AZ140" s="1044">
        <f t="shared" si="339"/>
        <v>0</v>
      </c>
      <c r="BA140" s="1044">
        <f t="shared" si="339"/>
        <v>0</v>
      </c>
      <c r="BB140" s="1070"/>
      <c r="BC140" s="1070"/>
      <c r="BD140" s="1070"/>
      <c r="BE140" s="1070"/>
      <c r="BF140" s="1071">
        <f t="shared" si="340"/>
        <v>0</v>
      </c>
      <c r="BG140" s="1071">
        <f t="shared" si="340"/>
        <v>0</v>
      </c>
      <c r="BH140" s="1071" t="e">
        <f t="shared" si="340"/>
        <v>#DIV/0!</v>
      </c>
      <c r="BI140" s="1071" t="e">
        <f t="shared" si="332"/>
        <v>#DIV/0!</v>
      </c>
      <c r="BJ140" s="1070">
        <f t="shared" si="199"/>
        <v>529215463.2617622</v>
      </c>
      <c r="BK140" s="1072">
        <f t="shared" si="200"/>
        <v>252969797.59842131</v>
      </c>
      <c r="BL140" s="1073">
        <f t="shared" si="194"/>
        <v>0.47800908166830453</v>
      </c>
      <c r="BM140" s="1072">
        <f t="shared" si="195"/>
        <v>241788864.90809849</v>
      </c>
      <c r="BN140" s="1074">
        <f t="shared" si="180"/>
        <v>0.45688170828920793</v>
      </c>
      <c r="BO140" s="1113" t="s">
        <v>2438</v>
      </c>
      <c r="BP140" s="1321" t="s">
        <v>2449</v>
      </c>
      <c r="BQ140" s="1898" t="s">
        <v>2490</v>
      </c>
      <c r="BR140" s="1083" t="s">
        <v>596</v>
      </c>
    </row>
    <row r="141" spans="1:70" ht="12.75" customHeight="1" thickBot="1">
      <c r="A141" s="1654" t="s">
        <v>2499</v>
      </c>
      <c r="B141" s="1899" t="s">
        <v>2500</v>
      </c>
      <c r="C141" s="1889" t="s">
        <v>597</v>
      </c>
      <c r="D141" s="1900">
        <v>1</v>
      </c>
      <c r="E141" s="1901">
        <v>1</v>
      </c>
      <c r="F141" s="1901">
        <v>1</v>
      </c>
      <c r="G141" s="1902">
        <v>1</v>
      </c>
      <c r="H141" s="1893">
        <v>0.91</v>
      </c>
      <c r="I141" s="2298">
        <v>0.84</v>
      </c>
      <c r="J141" s="1060"/>
      <c r="K141" s="1060"/>
      <c r="L141" s="1060"/>
      <c r="M141" s="1061"/>
      <c r="N141" s="1061"/>
      <c r="O141" s="1061"/>
      <c r="P141" s="2299">
        <f t="shared" si="333"/>
        <v>0.91</v>
      </c>
      <c r="Q141" s="2299">
        <f t="shared" si="333"/>
        <v>0.84</v>
      </c>
      <c r="R141" s="2299">
        <f t="shared" si="333"/>
        <v>0</v>
      </c>
      <c r="S141" s="2299">
        <f t="shared" si="333"/>
        <v>0</v>
      </c>
      <c r="T141" s="2156" t="s">
        <v>2845</v>
      </c>
      <c r="U141" s="1034">
        <v>46022</v>
      </c>
      <c r="V141" s="1035">
        <f t="shared" si="334"/>
        <v>4</v>
      </c>
      <c r="W141" s="1035">
        <f t="shared" si="335"/>
        <v>1.75</v>
      </c>
      <c r="X141" s="1279">
        <f t="shared" si="336"/>
        <v>0.4375</v>
      </c>
      <c r="Y141" s="1065">
        <v>0.06</v>
      </c>
      <c r="Z141" s="1065">
        <v>0.06</v>
      </c>
      <c r="AA141" s="1065">
        <v>0.06</v>
      </c>
      <c r="AB141" s="1065">
        <v>0.06</v>
      </c>
      <c r="AC141" s="1065">
        <v>0.06</v>
      </c>
      <c r="AD141" s="1066">
        <f>393400000/5+(759716485.664671/14)</f>
        <v>132945463.2617622</v>
      </c>
      <c r="AE141" s="1066">
        <f>529200000/5</f>
        <v>105840000</v>
      </c>
      <c r="AF141" s="1066">
        <v>78000000</v>
      </c>
      <c r="AG141" s="1066">
        <v>80000000</v>
      </c>
      <c r="AH141" s="1066">
        <f>382815821/5+(759716484.777898/14)</f>
        <v>130828627.39842129</v>
      </c>
      <c r="AI141" s="1066">
        <f>528607603/5</f>
        <v>105721520.59999999</v>
      </c>
      <c r="AJ141" s="1066"/>
      <c r="AK141" s="1066"/>
      <c r="AL141" s="1173">
        <f t="shared" si="337"/>
        <v>0.98407741180928465</v>
      </c>
      <c r="AM141" s="1173">
        <f t="shared" si="337"/>
        <v>0.99888058012093717</v>
      </c>
      <c r="AN141" s="1173">
        <f t="shared" si="337"/>
        <v>0</v>
      </c>
      <c r="AO141" s="1173">
        <f t="shared" si="337"/>
        <v>0</v>
      </c>
      <c r="AP141" s="1087">
        <f>371568614/5+(701642469.753379/14)</f>
        <v>124431042.06809849</v>
      </c>
      <c r="AQ141" s="1068">
        <f>509985906.67/5</f>
        <v>101997181.33400001</v>
      </c>
      <c r="AR141" s="1560"/>
      <c r="AS141" s="1069"/>
      <c r="AT141" s="1140">
        <f t="shared" si="338"/>
        <v>0.93595553406061482</v>
      </c>
      <c r="AU141" s="1140">
        <f t="shared" si="338"/>
        <v>0.96369218947467883</v>
      </c>
      <c r="AV141" s="1140">
        <f t="shared" si="338"/>
        <v>0</v>
      </c>
      <c r="AW141" s="1140">
        <f t="shared" si="330"/>
        <v>0</v>
      </c>
      <c r="AX141" s="1044">
        <f t="shared" si="339"/>
        <v>6397585.3303228021</v>
      </c>
      <c r="AY141" s="1044">
        <f t="shared" si="339"/>
        <v>3724339.2659999877</v>
      </c>
      <c r="AZ141" s="1044">
        <f t="shared" si="339"/>
        <v>0</v>
      </c>
      <c r="BA141" s="1044">
        <f t="shared" si="339"/>
        <v>0</v>
      </c>
      <c r="BB141" s="1070"/>
      <c r="BC141" s="1070"/>
      <c r="BD141" s="1070"/>
      <c r="BE141" s="1070"/>
      <c r="BF141" s="1071">
        <f t="shared" si="340"/>
        <v>0</v>
      </c>
      <c r="BG141" s="1071">
        <f t="shared" si="340"/>
        <v>0</v>
      </c>
      <c r="BH141" s="1071" t="e">
        <f t="shared" si="340"/>
        <v>#DIV/0!</v>
      </c>
      <c r="BI141" s="1071" t="e">
        <f t="shared" si="332"/>
        <v>#DIV/0!</v>
      </c>
      <c r="BJ141" s="1070">
        <f t="shared" si="199"/>
        <v>396785463.2617622</v>
      </c>
      <c r="BK141" s="1072">
        <f t="shared" si="200"/>
        <v>236550147.99842128</v>
      </c>
      <c r="BL141" s="1073">
        <f t="shared" si="194"/>
        <v>0.59616636671582768</v>
      </c>
      <c r="BM141" s="1072">
        <f t="shared" si="195"/>
        <v>226428223.40209848</v>
      </c>
      <c r="BN141" s="1074">
        <f t="shared" si="180"/>
        <v>0.57065654961437473</v>
      </c>
      <c r="BO141" s="1113" t="s">
        <v>2438</v>
      </c>
      <c r="BP141" s="1321" t="s">
        <v>2449</v>
      </c>
      <c r="BQ141" s="1531" t="s">
        <v>2501</v>
      </c>
      <c r="BR141" s="1083" t="s">
        <v>596</v>
      </c>
    </row>
    <row r="142" spans="1:70" ht="12.75" customHeight="1" thickBot="1">
      <c r="A142" s="1654" t="s">
        <v>2502</v>
      </c>
      <c r="B142" s="1903" t="s">
        <v>2503</v>
      </c>
      <c r="C142" s="1889" t="s">
        <v>597</v>
      </c>
      <c r="D142" s="1890">
        <v>1</v>
      </c>
      <c r="E142" s="1891">
        <v>1</v>
      </c>
      <c r="F142" s="1891">
        <v>1</v>
      </c>
      <c r="G142" s="1892">
        <v>1</v>
      </c>
      <c r="H142" s="1893">
        <v>0.76</v>
      </c>
      <c r="I142" s="1140">
        <v>0.99</v>
      </c>
      <c r="J142" s="1060"/>
      <c r="K142" s="1060"/>
      <c r="L142" s="1060"/>
      <c r="M142" s="1061"/>
      <c r="N142" s="1061"/>
      <c r="O142" s="1061"/>
      <c r="P142" s="1062">
        <f t="shared" si="333"/>
        <v>0.76</v>
      </c>
      <c r="Q142" s="1062">
        <f t="shared" si="333"/>
        <v>0.99</v>
      </c>
      <c r="R142" s="1062">
        <f t="shared" si="333"/>
        <v>0</v>
      </c>
      <c r="S142" s="1062">
        <f t="shared" si="333"/>
        <v>0</v>
      </c>
      <c r="T142" s="1669" t="s">
        <v>2504</v>
      </c>
      <c r="U142" s="1034">
        <v>46022</v>
      </c>
      <c r="V142" s="1035">
        <f t="shared" si="334"/>
        <v>4</v>
      </c>
      <c r="W142" s="1035">
        <f t="shared" si="335"/>
        <v>1.75</v>
      </c>
      <c r="X142" s="1279">
        <f t="shared" si="336"/>
        <v>0.4375</v>
      </c>
      <c r="Y142" s="1065">
        <v>0.06</v>
      </c>
      <c r="Z142" s="1065">
        <v>0.06</v>
      </c>
      <c r="AA142" s="1065">
        <v>0.06</v>
      </c>
      <c r="AB142" s="1065">
        <v>0.06</v>
      </c>
      <c r="AC142" s="1065">
        <v>0.06</v>
      </c>
      <c r="AD142" s="1066">
        <f>393400000/5+(759716485.664671/14)</f>
        <v>132945463.2617622</v>
      </c>
      <c r="AE142" s="1066">
        <f t="shared" ref="AE142:AE145" si="344">529200000/5</f>
        <v>105840000</v>
      </c>
      <c r="AF142" s="1066">
        <v>134000000</v>
      </c>
      <c r="AG142" s="1066">
        <v>140000000</v>
      </c>
      <c r="AH142" s="1066">
        <f>382815821/5+(759716484.777898/14)</f>
        <v>130828627.39842129</v>
      </c>
      <c r="AI142" s="1066">
        <f t="shared" ref="AI142:AI145" si="345">528607603/5</f>
        <v>105721520.59999999</v>
      </c>
      <c r="AJ142" s="1066"/>
      <c r="AK142" s="1066"/>
      <c r="AL142" s="1173">
        <f t="shared" si="337"/>
        <v>0.98407741180928465</v>
      </c>
      <c r="AM142" s="1173">
        <f t="shared" si="337"/>
        <v>0.99888058012093717</v>
      </c>
      <c r="AN142" s="1173">
        <f t="shared" si="337"/>
        <v>0</v>
      </c>
      <c r="AO142" s="1173">
        <f t="shared" si="337"/>
        <v>0</v>
      </c>
      <c r="AP142" s="1087">
        <f>371568614/5+(701642469.753379/14)</f>
        <v>124431042.06809849</v>
      </c>
      <c r="AQ142" s="1068">
        <f t="shared" ref="AQ142:AQ145" si="346">509985906.67/5</f>
        <v>101997181.33400001</v>
      </c>
      <c r="AR142" s="1560"/>
      <c r="AS142" s="1069"/>
      <c r="AT142" s="1140">
        <f t="shared" si="338"/>
        <v>0.93595553406061482</v>
      </c>
      <c r="AU142" s="1140">
        <f t="shared" si="338"/>
        <v>0.96369218947467883</v>
      </c>
      <c r="AV142" s="1140">
        <f t="shared" si="338"/>
        <v>0</v>
      </c>
      <c r="AW142" s="1140">
        <f t="shared" si="330"/>
        <v>0</v>
      </c>
      <c r="AX142" s="1044">
        <f t="shared" si="339"/>
        <v>6397585.3303228021</v>
      </c>
      <c r="AY142" s="1044">
        <f t="shared" si="339"/>
        <v>3724339.2659999877</v>
      </c>
      <c r="AZ142" s="1044">
        <f t="shared" si="339"/>
        <v>0</v>
      </c>
      <c r="BA142" s="1044">
        <f t="shared" si="339"/>
        <v>0</v>
      </c>
      <c r="BB142" s="1070"/>
      <c r="BC142" s="1070"/>
      <c r="BD142" s="1070"/>
      <c r="BE142" s="1070"/>
      <c r="BF142" s="1071">
        <f t="shared" si="340"/>
        <v>0</v>
      </c>
      <c r="BG142" s="1071">
        <f t="shared" si="340"/>
        <v>0</v>
      </c>
      <c r="BH142" s="1071" t="e">
        <f t="shared" si="340"/>
        <v>#DIV/0!</v>
      </c>
      <c r="BI142" s="1071" t="e">
        <f t="shared" si="332"/>
        <v>#DIV/0!</v>
      </c>
      <c r="BJ142" s="1070">
        <f t="shared" si="199"/>
        <v>512785463.2617622</v>
      </c>
      <c r="BK142" s="1072">
        <f t="shared" si="200"/>
        <v>236550147.99842128</v>
      </c>
      <c r="BL142" s="1073">
        <f t="shared" si="194"/>
        <v>0.46130431719681814</v>
      </c>
      <c r="BM142" s="1072">
        <f t="shared" si="195"/>
        <v>226428223.40209848</v>
      </c>
      <c r="BN142" s="1074">
        <f t="shared" si="180"/>
        <v>0.44156521513269459</v>
      </c>
      <c r="BO142" s="1113" t="s">
        <v>2438</v>
      </c>
      <c r="BP142" s="1321" t="s">
        <v>2449</v>
      </c>
      <c r="BQ142" s="1531" t="s">
        <v>2501</v>
      </c>
      <c r="BR142" s="1083" t="s">
        <v>596</v>
      </c>
    </row>
    <row r="143" spans="1:70" ht="12.75" customHeight="1" thickBot="1">
      <c r="A143" s="1654" t="s">
        <v>2505</v>
      </c>
      <c r="B143" s="1903" t="s">
        <v>2506</v>
      </c>
      <c r="C143" s="1889" t="s">
        <v>597</v>
      </c>
      <c r="D143" s="1890">
        <v>1</v>
      </c>
      <c r="E143" s="1891">
        <v>1</v>
      </c>
      <c r="F143" s="1891">
        <v>1</v>
      </c>
      <c r="G143" s="1892">
        <v>1</v>
      </c>
      <c r="H143" s="1893">
        <v>1</v>
      </c>
      <c r="I143" s="1140">
        <v>0.98</v>
      </c>
      <c r="J143" s="1060"/>
      <c r="K143" s="1060"/>
      <c r="L143" s="1060"/>
      <c r="M143" s="1061"/>
      <c r="N143" s="1061"/>
      <c r="O143" s="1061"/>
      <c r="P143" s="1062">
        <f t="shared" si="333"/>
        <v>1</v>
      </c>
      <c r="Q143" s="1062">
        <f t="shared" si="333"/>
        <v>0.98</v>
      </c>
      <c r="R143" s="1062">
        <f t="shared" si="333"/>
        <v>0</v>
      </c>
      <c r="S143" s="1062">
        <f t="shared" si="333"/>
        <v>0</v>
      </c>
      <c r="T143" s="1669" t="s">
        <v>2507</v>
      </c>
      <c r="U143" s="1034">
        <v>46022</v>
      </c>
      <c r="V143" s="1035">
        <f t="shared" si="334"/>
        <v>4</v>
      </c>
      <c r="W143" s="1035">
        <f t="shared" si="335"/>
        <v>1.98</v>
      </c>
      <c r="X143" s="1279">
        <f t="shared" si="336"/>
        <v>0.495</v>
      </c>
      <c r="Y143" s="1065">
        <v>0.06</v>
      </c>
      <c r="Z143" s="1065">
        <v>0.06</v>
      </c>
      <c r="AA143" s="1065">
        <v>0.06</v>
      </c>
      <c r="AB143" s="1065">
        <v>0.06</v>
      </c>
      <c r="AC143" s="1065">
        <v>0.06</v>
      </c>
      <c r="AD143" s="1066">
        <f>393400000/5+(759716485.664671/14)</f>
        <v>132945463.2617622</v>
      </c>
      <c r="AE143" s="1066">
        <f t="shared" si="344"/>
        <v>105840000</v>
      </c>
      <c r="AF143" s="1066">
        <v>134000000</v>
      </c>
      <c r="AG143" s="1066">
        <v>140000000</v>
      </c>
      <c r="AH143" s="1066">
        <f>382815821/5+(759716484.777898/14)</f>
        <v>130828627.39842129</v>
      </c>
      <c r="AI143" s="1066">
        <f t="shared" si="345"/>
        <v>105721520.59999999</v>
      </c>
      <c r="AJ143" s="1066"/>
      <c r="AK143" s="1066"/>
      <c r="AL143" s="1173">
        <f t="shared" si="337"/>
        <v>0.98407741180928465</v>
      </c>
      <c r="AM143" s="1173">
        <f t="shared" si="337"/>
        <v>0.99888058012093717</v>
      </c>
      <c r="AN143" s="1173">
        <f t="shared" si="337"/>
        <v>0</v>
      </c>
      <c r="AO143" s="1173">
        <f t="shared" si="337"/>
        <v>0</v>
      </c>
      <c r="AP143" s="1087">
        <f>371568614/5+(701642469.753379/14)</f>
        <v>124431042.06809849</v>
      </c>
      <c r="AQ143" s="1068">
        <f t="shared" si="346"/>
        <v>101997181.33400001</v>
      </c>
      <c r="AR143" s="1560"/>
      <c r="AS143" s="1069"/>
      <c r="AT143" s="1140">
        <f t="shared" si="338"/>
        <v>0.93595553406061482</v>
      </c>
      <c r="AU143" s="1140">
        <f t="shared" si="338"/>
        <v>0.96369218947467883</v>
      </c>
      <c r="AV143" s="1140">
        <f t="shared" si="338"/>
        <v>0</v>
      </c>
      <c r="AW143" s="1140">
        <f t="shared" si="330"/>
        <v>0</v>
      </c>
      <c r="AX143" s="1044">
        <f t="shared" si="339"/>
        <v>6397585.3303228021</v>
      </c>
      <c r="AY143" s="1044">
        <f t="shared" si="339"/>
        <v>3724339.2659999877</v>
      </c>
      <c r="AZ143" s="1044">
        <f t="shared" si="339"/>
        <v>0</v>
      </c>
      <c r="BA143" s="1044">
        <f t="shared" si="339"/>
        <v>0</v>
      </c>
      <c r="BB143" s="1070"/>
      <c r="BC143" s="1070"/>
      <c r="BD143" s="1070"/>
      <c r="BE143" s="1070"/>
      <c r="BF143" s="1071">
        <f t="shared" si="340"/>
        <v>0</v>
      </c>
      <c r="BG143" s="1071">
        <f t="shared" si="340"/>
        <v>0</v>
      </c>
      <c r="BH143" s="1071" t="e">
        <f t="shared" si="340"/>
        <v>#DIV/0!</v>
      </c>
      <c r="BI143" s="1071" t="e">
        <f t="shared" si="332"/>
        <v>#DIV/0!</v>
      </c>
      <c r="BJ143" s="1070">
        <f t="shared" si="199"/>
        <v>512785463.2617622</v>
      </c>
      <c r="BK143" s="1072">
        <f t="shared" si="200"/>
        <v>236550147.99842128</v>
      </c>
      <c r="BL143" s="1073">
        <f t="shared" si="194"/>
        <v>0.46130431719681814</v>
      </c>
      <c r="BM143" s="1072">
        <f t="shared" si="195"/>
        <v>226428223.40209848</v>
      </c>
      <c r="BN143" s="1074">
        <f t="shared" si="180"/>
        <v>0.44156521513269459</v>
      </c>
      <c r="BO143" s="1113" t="s">
        <v>2438</v>
      </c>
      <c r="BP143" s="1321" t="s">
        <v>2449</v>
      </c>
      <c r="BQ143" s="1531" t="s">
        <v>2501</v>
      </c>
      <c r="BR143" s="1083" t="s">
        <v>596</v>
      </c>
    </row>
    <row r="144" spans="1:70" ht="12.75" customHeight="1" thickBot="1">
      <c r="A144" s="1654" t="s">
        <v>2508</v>
      </c>
      <c r="B144" s="1903" t="s">
        <v>2509</v>
      </c>
      <c r="C144" s="1889" t="s">
        <v>597</v>
      </c>
      <c r="D144" s="1890">
        <v>1</v>
      </c>
      <c r="E144" s="1891">
        <v>1</v>
      </c>
      <c r="F144" s="1891">
        <v>1</v>
      </c>
      <c r="G144" s="1892">
        <v>1</v>
      </c>
      <c r="H144" s="1893">
        <v>0.52</v>
      </c>
      <c r="I144" s="1140">
        <v>0.84</v>
      </c>
      <c r="J144" s="1060"/>
      <c r="K144" s="1060"/>
      <c r="L144" s="1060"/>
      <c r="M144" s="1061"/>
      <c r="N144" s="1061"/>
      <c r="O144" s="1061"/>
      <c r="P144" s="1062">
        <f t="shared" si="333"/>
        <v>0.52</v>
      </c>
      <c r="Q144" s="1062">
        <f t="shared" si="333"/>
        <v>0.84</v>
      </c>
      <c r="R144" s="1062">
        <f t="shared" si="333"/>
        <v>0</v>
      </c>
      <c r="S144" s="1062">
        <f t="shared" si="333"/>
        <v>0</v>
      </c>
      <c r="T144" s="1894" t="s">
        <v>2510</v>
      </c>
      <c r="U144" s="1034">
        <v>46022</v>
      </c>
      <c r="V144" s="1035">
        <f t="shared" si="334"/>
        <v>4</v>
      </c>
      <c r="W144" s="1035">
        <f t="shared" si="335"/>
        <v>1.3599999999999999</v>
      </c>
      <c r="X144" s="1279">
        <f t="shared" si="336"/>
        <v>0.33999999999999997</v>
      </c>
      <c r="Y144" s="1065">
        <v>0.06</v>
      </c>
      <c r="Z144" s="1065">
        <v>0.06</v>
      </c>
      <c r="AA144" s="1065">
        <v>0.06</v>
      </c>
      <c r="AB144" s="1065">
        <v>0.06</v>
      </c>
      <c r="AC144" s="1065">
        <v>0.06</v>
      </c>
      <c r="AD144" s="1066">
        <f>393400000/5+(759716485.664671/14)</f>
        <v>132945463.2617622</v>
      </c>
      <c r="AE144" s="1066">
        <f t="shared" si="344"/>
        <v>105840000</v>
      </c>
      <c r="AF144" s="1066">
        <v>134000000</v>
      </c>
      <c r="AG144" s="1066">
        <v>140000000</v>
      </c>
      <c r="AH144" s="1066">
        <f>382815821/5+(759716484.777898/14)</f>
        <v>130828627.39842129</v>
      </c>
      <c r="AI144" s="1066">
        <f t="shared" si="345"/>
        <v>105721520.59999999</v>
      </c>
      <c r="AJ144" s="1066"/>
      <c r="AK144" s="1066"/>
      <c r="AL144" s="1173">
        <f t="shared" si="337"/>
        <v>0.98407741180928465</v>
      </c>
      <c r="AM144" s="1173">
        <f t="shared" si="337"/>
        <v>0.99888058012093717</v>
      </c>
      <c r="AN144" s="1173">
        <f t="shared" si="337"/>
        <v>0</v>
      </c>
      <c r="AO144" s="1173">
        <f t="shared" si="337"/>
        <v>0</v>
      </c>
      <c r="AP144" s="1087">
        <f>371568614/5+(701642469.753379/14)</f>
        <v>124431042.06809849</v>
      </c>
      <c r="AQ144" s="1068">
        <f t="shared" si="346"/>
        <v>101997181.33400001</v>
      </c>
      <c r="AR144" s="1560"/>
      <c r="AS144" s="1069"/>
      <c r="AT144" s="1140">
        <f t="shared" si="338"/>
        <v>0.93595553406061482</v>
      </c>
      <c r="AU144" s="1140">
        <f t="shared" si="338"/>
        <v>0.96369218947467883</v>
      </c>
      <c r="AV144" s="1140">
        <f t="shared" si="338"/>
        <v>0</v>
      </c>
      <c r="AW144" s="1140">
        <f t="shared" si="330"/>
        <v>0</v>
      </c>
      <c r="AX144" s="1044">
        <f t="shared" si="339"/>
        <v>6397585.3303228021</v>
      </c>
      <c r="AY144" s="1044">
        <f t="shared" si="339"/>
        <v>3724339.2659999877</v>
      </c>
      <c r="AZ144" s="1044">
        <f t="shared" si="339"/>
        <v>0</v>
      </c>
      <c r="BA144" s="1044">
        <f t="shared" si="339"/>
        <v>0</v>
      </c>
      <c r="BB144" s="1070"/>
      <c r="BC144" s="1070"/>
      <c r="BD144" s="1070"/>
      <c r="BE144" s="1070"/>
      <c r="BF144" s="1071">
        <f t="shared" si="340"/>
        <v>0</v>
      </c>
      <c r="BG144" s="1071">
        <f t="shared" si="340"/>
        <v>0</v>
      </c>
      <c r="BH144" s="1071" t="e">
        <f t="shared" si="340"/>
        <v>#DIV/0!</v>
      </c>
      <c r="BI144" s="1071" t="e">
        <f t="shared" si="332"/>
        <v>#DIV/0!</v>
      </c>
      <c r="BJ144" s="1070">
        <f t="shared" si="199"/>
        <v>512785463.2617622</v>
      </c>
      <c r="BK144" s="1072">
        <f t="shared" si="200"/>
        <v>236550147.99842128</v>
      </c>
      <c r="BL144" s="1073">
        <f t="shared" si="194"/>
        <v>0.46130431719681814</v>
      </c>
      <c r="BM144" s="1072">
        <f t="shared" si="195"/>
        <v>226428223.40209848</v>
      </c>
      <c r="BN144" s="1074">
        <f t="shared" si="180"/>
        <v>0.44156521513269459</v>
      </c>
      <c r="BO144" s="1113" t="s">
        <v>2438</v>
      </c>
      <c r="BP144" s="1321" t="s">
        <v>2449</v>
      </c>
      <c r="BQ144" s="1531" t="s">
        <v>2501</v>
      </c>
      <c r="BR144" s="1083" t="s">
        <v>596</v>
      </c>
    </row>
    <row r="145" spans="1:70" ht="12.75" customHeight="1" thickBot="1">
      <c r="A145" s="1654" t="s">
        <v>2511</v>
      </c>
      <c r="B145" s="1903" t="s">
        <v>2512</v>
      </c>
      <c r="C145" s="1889" t="s">
        <v>597</v>
      </c>
      <c r="D145" s="1890">
        <v>1</v>
      </c>
      <c r="E145" s="1891">
        <v>1</v>
      </c>
      <c r="F145" s="1891">
        <v>1</v>
      </c>
      <c r="G145" s="1897">
        <v>1</v>
      </c>
      <c r="H145" s="1893">
        <v>0.93</v>
      </c>
      <c r="I145" s="1140">
        <v>0.93</v>
      </c>
      <c r="J145" s="1060"/>
      <c r="K145" s="1060"/>
      <c r="L145" s="1060"/>
      <c r="M145" s="1061"/>
      <c r="N145" s="1061"/>
      <c r="O145" s="1061"/>
      <c r="P145" s="1062">
        <f t="shared" si="333"/>
        <v>0.93</v>
      </c>
      <c r="Q145" s="1062">
        <f t="shared" si="333"/>
        <v>0.93</v>
      </c>
      <c r="R145" s="1062">
        <f t="shared" si="333"/>
        <v>0</v>
      </c>
      <c r="S145" s="1062">
        <f t="shared" si="333"/>
        <v>0</v>
      </c>
      <c r="T145" s="1894" t="s">
        <v>2513</v>
      </c>
      <c r="U145" s="1034">
        <v>46022</v>
      </c>
      <c r="V145" s="1035">
        <f t="shared" si="334"/>
        <v>4</v>
      </c>
      <c r="W145" s="1035">
        <f t="shared" si="335"/>
        <v>1.86</v>
      </c>
      <c r="X145" s="1279">
        <f t="shared" si="336"/>
        <v>0.46500000000000002</v>
      </c>
      <c r="Y145" s="1065">
        <v>0.06</v>
      </c>
      <c r="Z145" s="1065">
        <v>0.06</v>
      </c>
      <c r="AA145" s="1065">
        <v>0.06</v>
      </c>
      <c r="AB145" s="1065">
        <v>0.06</v>
      </c>
      <c r="AC145" s="1065">
        <v>0.06</v>
      </c>
      <c r="AD145" s="1066">
        <f>393400000/5+(759716485.664671/14)</f>
        <v>132945463.2617622</v>
      </c>
      <c r="AE145" s="1066">
        <f t="shared" si="344"/>
        <v>105840000</v>
      </c>
      <c r="AF145" s="1066">
        <v>134000000</v>
      </c>
      <c r="AG145" s="1066">
        <v>140000000</v>
      </c>
      <c r="AH145" s="1066">
        <f>382815821/5+(759716484.777898/14)</f>
        <v>130828627.39842129</v>
      </c>
      <c r="AI145" s="1066">
        <f t="shared" si="345"/>
        <v>105721520.59999999</v>
      </c>
      <c r="AJ145" s="1066"/>
      <c r="AK145" s="1066"/>
      <c r="AL145" s="1173">
        <f t="shared" si="337"/>
        <v>0.98407741180928465</v>
      </c>
      <c r="AM145" s="1173">
        <f t="shared" si="337"/>
        <v>0.99888058012093717</v>
      </c>
      <c r="AN145" s="1173">
        <f t="shared" si="337"/>
        <v>0</v>
      </c>
      <c r="AO145" s="1173">
        <f t="shared" si="337"/>
        <v>0</v>
      </c>
      <c r="AP145" s="1087">
        <f>371568614/5+(701642469.753379/14)</f>
        <v>124431042.06809849</v>
      </c>
      <c r="AQ145" s="1068">
        <f t="shared" si="346"/>
        <v>101997181.33400001</v>
      </c>
      <c r="AR145" s="1560"/>
      <c r="AS145" s="1069"/>
      <c r="AT145" s="1140">
        <f t="shared" si="338"/>
        <v>0.93595553406061482</v>
      </c>
      <c r="AU145" s="1140">
        <f t="shared" si="338"/>
        <v>0.96369218947467883</v>
      </c>
      <c r="AV145" s="1140">
        <f t="shared" si="338"/>
        <v>0</v>
      </c>
      <c r="AW145" s="1140">
        <f t="shared" si="330"/>
        <v>0</v>
      </c>
      <c r="AX145" s="1044">
        <f t="shared" si="339"/>
        <v>6397585.3303228021</v>
      </c>
      <c r="AY145" s="1044">
        <f t="shared" si="339"/>
        <v>3724339.2659999877</v>
      </c>
      <c r="AZ145" s="1044">
        <f t="shared" si="339"/>
        <v>0</v>
      </c>
      <c r="BA145" s="1044">
        <f t="shared" si="339"/>
        <v>0</v>
      </c>
      <c r="BB145" s="1070"/>
      <c r="BC145" s="1070"/>
      <c r="BD145" s="1070"/>
      <c r="BE145" s="1070"/>
      <c r="BF145" s="1071">
        <f t="shared" si="340"/>
        <v>0</v>
      </c>
      <c r="BG145" s="1071">
        <f t="shared" si="340"/>
        <v>0</v>
      </c>
      <c r="BH145" s="1071" t="e">
        <f t="shared" si="340"/>
        <v>#DIV/0!</v>
      </c>
      <c r="BI145" s="1071" t="e">
        <f t="shared" si="332"/>
        <v>#DIV/0!</v>
      </c>
      <c r="BJ145" s="1070">
        <f t="shared" si="199"/>
        <v>512785463.2617622</v>
      </c>
      <c r="BK145" s="1072">
        <f t="shared" si="200"/>
        <v>236550147.99842128</v>
      </c>
      <c r="BL145" s="1073">
        <f t="shared" si="194"/>
        <v>0.46130431719681814</v>
      </c>
      <c r="BM145" s="1072">
        <f t="shared" si="195"/>
        <v>226428223.40209848</v>
      </c>
      <c r="BN145" s="1074">
        <f t="shared" si="180"/>
        <v>0.44156521513269459</v>
      </c>
      <c r="BO145" s="1113" t="s">
        <v>2438</v>
      </c>
      <c r="BP145" s="1321" t="s">
        <v>2449</v>
      </c>
      <c r="BQ145" s="1898" t="s">
        <v>2501</v>
      </c>
      <c r="BR145" s="1083" t="s">
        <v>596</v>
      </c>
    </row>
    <row r="146" spans="1:70" ht="12.75" customHeight="1" thickBot="1">
      <c r="A146" s="1904" t="s">
        <v>2514</v>
      </c>
      <c r="B146" s="1905" t="s">
        <v>2515</v>
      </c>
      <c r="C146" s="1896" t="s">
        <v>597</v>
      </c>
      <c r="D146" s="1900">
        <v>1</v>
      </c>
      <c r="E146" s="1901">
        <v>1</v>
      </c>
      <c r="F146" s="1901">
        <v>1</v>
      </c>
      <c r="G146" s="1902">
        <v>1</v>
      </c>
      <c r="H146" s="1893">
        <v>0.87</v>
      </c>
      <c r="I146" s="1140">
        <v>0.85</v>
      </c>
      <c r="J146" s="1060"/>
      <c r="K146" s="1060"/>
      <c r="L146" s="1060"/>
      <c r="M146" s="1061"/>
      <c r="N146" s="1061"/>
      <c r="O146" s="1061"/>
      <c r="P146" s="1062">
        <f t="shared" si="333"/>
        <v>0.87</v>
      </c>
      <c r="Q146" s="1062">
        <f t="shared" si="333"/>
        <v>0.85</v>
      </c>
      <c r="R146" s="1062">
        <f t="shared" si="333"/>
        <v>0</v>
      </c>
      <c r="S146" s="1062">
        <f t="shared" si="333"/>
        <v>0</v>
      </c>
      <c r="T146" s="1669" t="s">
        <v>2516</v>
      </c>
      <c r="U146" s="1034">
        <v>46022</v>
      </c>
      <c r="V146" s="1035">
        <f t="shared" si="334"/>
        <v>4</v>
      </c>
      <c r="W146" s="1035">
        <f t="shared" si="335"/>
        <v>1.72</v>
      </c>
      <c r="X146" s="1279">
        <f t="shared" si="336"/>
        <v>0.43</v>
      </c>
      <c r="Y146" s="1065">
        <v>0.05</v>
      </c>
      <c r="Z146" s="1065">
        <v>0.05</v>
      </c>
      <c r="AA146" s="1065">
        <v>0.05</v>
      </c>
      <c r="AB146" s="1065">
        <v>0.05</v>
      </c>
      <c r="AC146" s="1065">
        <v>0.05</v>
      </c>
      <c r="AD146" s="1066">
        <f>66500000+(759716485.664671/14)</f>
        <v>120765463.2617622</v>
      </c>
      <c r="AE146" s="1066">
        <v>97200000</v>
      </c>
      <c r="AF146" s="1066">
        <v>114000000</v>
      </c>
      <c r="AG146" s="1066">
        <v>120000000</v>
      </c>
      <c r="AH146" s="1066">
        <f>66179800+(759716484.777898/14)</f>
        <v>120445263.19842128</v>
      </c>
      <c r="AI146" s="1066">
        <v>97200000</v>
      </c>
      <c r="AJ146" s="1066"/>
      <c r="AK146" s="1066"/>
      <c r="AL146" s="1173">
        <f t="shared" si="337"/>
        <v>0.99734857918238695</v>
      </c>
      <c r="AM146" s="1173">
        <f t="shared" si="337"/>
        <v>1</v>
      </c>
      <c r="AN146" s="1173">
        <f t="shared" si="337"/>
        <v>0</v>
      </c>
      <c r="AO146" s="1173">
        <f t="shared" si="337"/>
        <v>0</v>
      </c>
      <c r="AP146" s="1087">
        <f>64918839+(701642469.753379/14)</f>
        <v>115036158.2680985</v>
      </c>
      <c r="AQ146" s="1068">
        <v>93631845.75</v>
      </c>
      <c r="AR146" s="1560"/>
      <c r="AS146" s="1069"/>
      <c r="AT146" s="1140">
        <f t="shared" si="338"/>
        <v>0.95255841497295224</v>
      </c>
      <c r="AU146" s="1140">
        <f t="shared" si="338"/>
        <v>0.96329059413580242</v>
      </c>
      <c r="AV146" s="1140">
        <f t="shared" si="338"/>
        <v>0</v>
      </c>
      <c r="AW146" s="1140">
        <f t="shared" si="330"/>
        <v>0</v>
      </c>
      <c r="AX146" s="1044">
        <f t="shared" si="339"/>
        <v>5409104.9303227812</v>
      </c>
      <c r="AY146" s="1044">
        <f t="shared" si="339"/>
        <v>3568154.25</v>
      </c>
      <c r="AZ146" s="1044">
        <f t="shared" si="339"/>
        <v>0</v>
      </c>
      <c r="BA146" s="1044">
        <f t="shared" si="339"/>
        <v>0</v>
      </c>
      <c r="BB146" s="1070"/>
      <c r="BC146" s="1070"/>
      <c r="BD146" s="1070"/>
      <c r="BE146" s="1070"/>
      <c r="BF146" s="1071">
        <f t="shared" si="340"/>
        <v>0</v>
      </c>
      <c r="BG146" s="1071">
        <f t="shared" si="340"/>
        <v>0</v>
      </c>
      <c r="BH146" s="1071" t="e">
        <f t="shared" si="340"/>
        <v>#DIV/0!</v>
      </c>
      <c r="BI146" s="1071" t="e">
        <f t="shared" si="332"/>
        <v>#DIV/0!</v>
      </c>
      <c r="BJ146" s="1070">
        <f t="shared" si="199"/>
        <v>451965463.2617622</v>
      </c>
      <c r="BK146" s="1072">
        <f t="shared" si="200"/>
        <v>217645263.1984213</v>
      </c>
      <c r="BL146" s="1073">
        <f t="shared" si="194"/>
        <v>0.48155286385758411</v>
      </c>
      <c r="BM146" s="1072">
        <f t="shared" si="195"/>
        <v>208668004.0180985</v>
      </c>
      <c r="BN146" s="1074">
        <f t="shared" si="180"/>
        <v>0.46169015329661478</v>
      </c>
      <c r="BO146" s="1113" t="s">
        <v>2438</v>
      </c>
      <c r="BP146" s="1321" t="s">
        <v>2449</v>
      </c>
      <c r="BQ146" s="1531" t="s">
        <v>2193</v>
      </c>
      <c r="BR146" s="1083" t="s">
        <v>596</v>
      </c>
    </row>
    <row r="147" spans="1:70" ht="12.75" customHeight="1" thickBot="1">
      <c r="A147" s="1868" t="s">
        <v>2517</v>
      </c>
      <c r="B147" s="1903" t="s">
        <v>2518</v>
      </c>
      <c r="C147" s="1889" t="s">
        <v>597</v>
      </c>
      <c r="D147" s="1890">
        <v>1</v>
      </c>
      <c r="E147" s="1891">
        <v>1</v>
      </c>
      <c r="F147" s="1891">
        <v>1</v>
      </c>
      <c r="G147" s="1892">
        <v>1</v>
      </c>
      <c r="H147" s="1893">
        <v>0.52</v>
      </c>
      <c r="I147" s="1140">
        <v>1</v>
      </c>
      <c r="J147" s="1060"/>
      <c r="K147" s="1060"/>
      <c r="L147" s="1060"/>
      <c r="M147" s="1061"/>
      <c r="N147" s="1061"/>
      <c r="O147" s="1061"/>
      <c r="P147" s="1062">
        <f t="shared" si="333"/>
        <v>0.52</v>
      </c>
      <c r="Q147" s="1062">
        <f t="shared" si="333"/>
        <v>1</v>
      </c>
      <c r="R147" s="1062">
        <f t="shared" si="333"/>
        <v>0</v>
      </c>
      <c r="S147" s="1062">
        <f t="shared" si="333"/>
        <v>0</v>
      </c>
      <c r="T147" s="1669" t="s">
        <v>2519</v>
      </c>
      <c r="U147" s="1034">
        <v>46022</v>
      </c>
      <c r="V147" s="1035">
        <f t="shared" si="334"/>
        <v>4</v>
      </c>
      <c r="W147" s="1035">
        <f t="shared" si="335"/>
        <v>1.52</v>
      </c>
      <c r="X147" s="1279">
        <f t="shared" si="336"/>
        <v>0.38</v>
      </c>
      <c r="Y147" s="1065">
        <v>0.1</v>
      </c>
      <c r="Z147" s="1065">
        <v>0.1</v>
      </c>
      <c r="AA147" s="1065">
        <v>0.1</v>
      </c>
      <c r="AB147" s="1065">
        <v>0.1</v>
      </c>
      <c r="AC147" s="1065">
        <v>0.1</v>
      </c>
      <c r="AD147" s="1066">
        <f>119000000+(759716485.664671/14)</f>
        <v>173265463.2617622</v>
      </c>
      <c r="AE147" s="1066">
        <v>162000000</v>
      </c>
      <c r="AF147" s="1066">
        <v>190000000</v>
      </c>
      <c r="AG147" s="1066">
        <v>200000000</v>
      </c>
      <c r="AH147" s="1066">
        <f>118644443+(759716484.777898/14)</f>
        <v>172909906.1984213</v>
      </c>
      <c r="AI147" s="1066">
        <v>160410976</v>
      </c>
      <c r="AJ147" s="1066"/>
      <c r="AK147" s="1066"/>
      <c r="AL147" s="1173">
        <f t="shared" si="337"/>
        <v>0.99794790573581449</v>
      </c>
      <c r="AM147" s="1173">
        <f t="shared" si="337"/>
        <v>0.99019120987654319</v>
      </c>
      <c r="AN147" s="1173">
        <f t="shared" si="337"/>
        <v>0</v>
      </c>
      <c r="AO147" s="1173">
        <f t="shared" si="337"/>
        <v>0</v>
      </c>
      <c r="AP147" s="1087">
        <f>117274850+(701642469.753379/14)</f>
        <v>167392169.2680985</v>
      </c>
      <c r="AQ147" s="1068">
        <v>158139397.94999999</v>
      </c>
      <c r="AR147" s="1560"/>
      <c r="AS147" s="1069"/>
      <c r="AT147" s="1140">
        <f t="shared" si="338"/>
        <v>0.96610233867097584</v>
      </c>
      <c r="AU147" s="1140">
        <f t="shared" si="338"/>
        <v>0.97616912314814808</v>
      </c>
      <c r="AV147" s="1140">
        <f t="shared" si="338"/>
        <v>0</v>
      </c>
      <c r="AW147" s="1140">
        <f t="shared" si="330"/>
        <v>0</v>
      </c>
      <c r="AX147" s="1044">
        <f t="shared" si="339"/>
        <v>5517736.9303227961</v>
      </c>
      <c r="AY147" s="1044">
        <f t="shared" si="339"/>
        <v>2271578.0500000119</v>
      </c>
      <c r="AZ147" s="1044">
        <f t="shared" si="339"/>
        <v>0</v>
      </c>
      <c r="BA147" s="1044">
        <f t="shared" si="339"/>
        <v>0</v>
      </c>
      <c r="BB147" s="1070"/>
      <c r="BC147" s="1070"/>
      <c r="BD147" s="1070"/>
      <c r="BE147" s="1070"/>
      <c r="BF147" s="1071">
        <f t="shared" si="340"/>
        <v>0</v>
      </c>
      <c r="BG147" s="1071">
        <f t="shared" si="340"/>
        <v>0</v>
      </c>
      <c r="BH147" s="1071" t="e">
        <f t="shared" si="340"/>
        <v>#DIV/0!</v>
      </c>
      <c r="BI147" s="1071" t="e">
        <f t="shared" si="332"/>
        <v>#DIV/0!</v>
      </c>
      <c r="BJ147" s="1070">
        <f t="shared" si="199"/>
        <v>725265463.26176214</v>
      </c>
      <c r="BK147" s="1072">
        <f t="shared" si="200"/>
        <v>333320882.1984213</v>
      </c>
      <c r="BL147" s="1073">
        <f t="shared" si="194"/>
        <v>0.45958466117959823</v>
      </c>
      <c r="BM147" s="1072">
        <f t="shared" si="195"/>
        <v>325531567.21809852</v>
      </c>
      <c r="BN147" s="1074">
        <f t="shared" si="180"/>
        <v>0.44884471094773193</v>
      </c>
      <c r="BO147" s="1113" t="s">
        <v>2438</v>
      </c>
      <c r="BP147" s="1321" t="s">
        <v>2449</v>
      </c>
      <c r="BQ147" s="1531" t="s">
        <v>2520</v>
      </c>
      <c r="BR147" s="1083" t="s">
        <v>596</v>
      </c>
    </row>
    <row r="148" spans="1:70" ht="12.75" customHeight="1" thickBot="1">
      <c r="A148" s="1868" t="s">
        <v>2521</v>
      </c>
      <c r="B148" s="1869" t="s">
        <v>2522</v>
      </c>
      <c r="C148" s="1889" t="s">
        <v>597</v>
      </c>
      <c r="D148" s="1890">
        <v>1</v>
      </c>
      <c r="E148" s="1891">
        <v>1</v>
      </c>
      <c r="F148" s="1891">
        <v>1</v>
      </c>
      <c r="G148" s="1892">
        <v>1</v>
      </c>
      <c r="H148" s="1893">
        <v>1</v>
      </c>
      <c r="I148" s="1140">
        <v>1</v>
      </c>
      <c r="J148" s="1060"/>
      <c r="K148" s="1060"/>
      <c r="L148" s="1060"/>
      <c r="M148" s="1061"/>
      <c r="N148" s="1061"/>
      <c r="O148" s="1061"/>
      <c r="P148" s="1062">
        <f t="shared" si="333"/>
        <v>1</v>
      </c>
      <c r="Q148" s="1062">
        <f t="shared" si="333"/>
        <v>1</v>
      </c>
      <c r="R148" s="1062">
        <f t="shared" si="333"/>
        <v>0</v>
      </c>
      <c r="S148" s="1062">
        <f t="shared" si="333"/>
        <v>0</v>
      </c>
      <c r="T148" s="1669" t="s">
        <v>2523</v>
      </c>
      <c r="U148" s="1034">
        <v>46022</v>
      </c>
      <c r="V148" s="1035">
        <f t="shared" si="334"/>
        <v>4</v>
      </c>
      <c r="W148" s="1035">
        <f t="shared" si="335"/>
        <v>2</v>
      </c>
      <c r="X148" s="1279">
        <f t="shared" si="336"/>
        <v>0.5</v>
      </c>
      <c r="Y148" s="1065">
        <v>0.2</v>
      </c>
      <c r="Z148" s="1065">
        <v>0.2</v>
      </c>
      <c r="AA148" s="1065">
        <v>0.2</v>
      </c>
      <c r="AB148" s="1065">
        <v>0.2</v>
      </c>
      <c r="AC148" s="1065">
        <v>0.2</v>
      </c>
      <c r="AD148" s="1066">
        <f>99750000++(759716485.664671/14)</f>
        <v>154015463.2617622</v>
      </c>
      <c r="AE148" s="1066">
        <v>810000000</v>
      </c>
      <c r="AF148" s="1066">
        <v>427500000</v>
      </c>
      <c r="AG148" s="1066">
        <v>500000000</v>
      </c>
      <c r="AH148" s="1066">
        <f>97180549+(759716484.777898/14)</f>
        <v>151446012.1984213</v>
      </c>
      <c r="AI148" s="1066">
        <v>795559791.65999997</v>
      </c>
      <c r="AJ148" s="1066"/>
      <c r="AK148" s="1066"/>
      <c r="AL148" s="1173">
        <f t="shared" si="337"/>
        <v>0.98331692799589931</v>
      </c>
      <c r="AM148" s="1173">
        <f t="shared" si="337"/>
        <v>0.98217258229629623</v>
      </c>
      <c r="AN148" s="1173">
        <f t="shared" si="337"/>
        <v>0</v>
      </c>
      <c r="AO148" s="1173">
        <f t="shared" si="337"/>
        <v>0</v>
      </c>
      <c r="AP148" s="1087">
        <f>95184563+(701642469.753379/14)</f>
        <v>145301882.2680985</v>
      </c>
      <c r="AQ148" s="1068">
        <v>580498840.98000002</v>
      </c>
      <c r="AR148" s="1560"/>
      <c r="AS148" s="1069"/>
      <c r="AT148" s="1140">
        <f t="shared" si="338"/>
        <v>0.94342398607824052</v>
      </c>
      <c r="AU148" s="1140">
        <f t="shared" si="338"/>
        <v>0.71666523577777785</v>
      </c>
      <c r="AV148" s="1140">
        <f t="shared" si="338"/>
        <v>0</v>
      </c>
      <c r="AW148" s="1140">
        <f t="shared" si="330"/>
        <v>0</v>
      </c>
      <c r="AX148" s="1044">
        <f t="shared" si="339"/>
        <v>6144129.9303227961</v>
      </c>
      <c r="AY148" s="1044">
        <f t="shared" si="339"/>
        <v>215060950.67999995</v>
      </c>
      <c r="AZ148" s="1044">
        <f t="shared" si="339"/>
        <v>0</v>
      </c>
      <c r="BA148" s="1044">
        <f t="shared" si="339"/>
        <v>0</v>
      </c>
      <c r="BB148" s="1070"/>
      <c r="BC148" s="1070"/>
      <c r="BD148" s="1070"/>
      <c r="BE148" s="1070"/>
      <c r="BF148" s="1071">
        <f t="shared" si="340"/>
        <v>0</v>
      </c>
      <c r="BG148" s="1071">
        <f t="shared" si="340"/>
        <v>0</v>
      </c>
      <c r="BH148" s="1071" t="e">
        <f t="shared" si="340"/>
        <v>#DIV/0!</v>
      </c>
      <c r="BI148" s="1071" t="e">
        <f t="shared" si="332"/>
        <v>#DIV/0!</v>
      </c>
      <c r="BJ148" s="1070">
        <f t="shared" si="199"/>
        <v>1891515463.2617621</v>
      </c>
      <c r="BK148" s="1072">
        <f t="shared" si="200"/>
        <v>947005803.85842133</v>
      </c>
      <c r="BL148" s="1073">
        <f t="shared" si="194"/>
        <v>0.5006598266055875</v>
      </c>
      <c r="BM148" s="1072">
        <f t="shared" si="195"/>
        <v>725800723.24809849</v>
      </c>
      <c r="BN148" s="1074">
        <f t="shared" ref="BN148:BN211" si="347">+BM148/BJ148</f>
        <v>0.3837138724716081</v>
      </c>
      <c r="BO148" s="1113" t="s">
        <v>2438</v>
      </c>
      <c r="BP148" s="1321" t="s">
        <v>2449</v>
      </c>
      <c r="BQ148" s="1531" t="s">
        <v>2193</v>
      </c>
      <c r="BR148" s="1083" t="s">
        <v>596</v>
      </c>
    </row>
    <row r="149" spans="1:70" ht="12.75" customHeight="1" thickBot="1">
      <c r="A149" s="1856" t="s">
        <v>2524</v>
      </c>
      <c r="B149" s="1906" t="s">
        <v>2525</v>
      </c>
      <c r="C149" s="1907" t="s">
        <v>597</v>
      </c>
      <c r="D149" s="1874">
        <v>1</v>
      </c>
      <c r="E149" s="1875">
        <v>1</v>
      </c>
      <c r="F149" s="1875">
        <v>1</v>
      </c>
      <c r="G149" s="1876">
        <v>1</v>
      </c>
      <c r="H149" s="1877">
        <v>1</v>
      </c>
      <c r="I149" s="1189">
        <v>1</v>
      </c>
      <c r="J149" s="1182"/>
      <c r="K149" s="1182"/>
      <c r="L149" s="1182"/>
      <c r="M149" s="1101"/>
      <c r="N149" s="1101"/>
      <c r="O149" s="1101"/>
      <c r="P149" s="1102">
        <f t="shared" si="333"/>
        <v>1</v>
      </c>
      <c r="Q149" s="1102">
        <f t="shared" si="333"/>
        <v>1</v>
      </c>
      <c r="R149" s="1102">
        <f t="shared" si="333"/>
        <v>0</v>
      </c>
      <c r="S149" s="1102">
        <f t="shared" si="333"/>
        <v>0</v>
      </c>
      <c r="T149" s="1686" t="s">
        <v>2526</v>
      </c>
      <c r="U149" s="1034">
        <v>46022</v>
      </c>
      <c r="V149" s="1035">
        <f t="shared" si="334"/>
        <v>4</v>
      </c>
      <c r="W149" s="1035">
        <f t="shared" si="335"/>
        <v>2</v>
      </c>
      <c r="X149" s="1279">
        <f t="shared" si="336"/>
        <v>0.5</v>
      </c>
      <c r="Y149" s="1104">
        <v>0.05</v>
      </c>
      <c r="Z149" s="1104">
        <v>0.05</v>
      </c>
      <c r="AA149" s="1104">
        <v>0.05</v>
      </c>
      <c r="AB149" s="1104">
        <v>0.05</v>
      </c>
      <c r="AC149" s="1104">
        <v>0.05</v>
      </c>
      <c r="AD149" s="1106">
        <f>166250000++(759716485.664671/14)</f>
        <v>220515463.2617622</v>
      </c>
      <c r="AE149" s="1106">
        <v>85500000</v>
      </c>
      <c r="AF149" s="1106">
        <v>95000000</v>
      </c>
      <c r="AG149" s="1106">
        <v>100000000</v>
      </c>
      <c r="AH149" s="1106">
        <f>161586095+(759716484.777898/14)</f>
        <v>215851558.1984213</v>
      </c>
      <c r="AI149" s="1106">
        <v>83843065</v>
      </c>
      <c r="AJ149" s="1106"/>
      <c r="AK149" s="1106"/>
      <c r="AL149" s="1295">
        <f t="shared" si="337"/>
        <v>0.97884998632588127</v>
      </c>
      <c r="AM149" s="1295">
        <f t="shared" si="337"/>
        <v>0.98062064327485376</v>
      </c>
      <c r="AN149" s="1295">
        <f t="shared" si="337"/>
        <v>0</v>
      </c>
      <c r="AO149" s="1295">
        <f t="shared" si="337"/>
        <v>0</v>
      </c>
      <c r="AP149" s="1109">
        <f>154878373+(701642469.753379/14)</f>
        <v>204995692.2680985</v>
      </c>
      <c r="AQ149" s="1187">
        <v>82149445.090000004</v>
      </c>
      <c r="AR149" s="1567"/>
      <c r="AS149" s="1188"/>
      <c r="AT149" s="1189">
        <f t="shared" si="338"/>
        <v>0.9296204866357104</v>
      </c>
      <c r="AU149" s="1189">
        <f t="shared" si="338"/>
        <v>0.96081222327485383</v>
      </c>
      <c r="AV149" s="1189">
        <f t="shared" si="338"/>
        <v>0</v>
      </c>
      <c r="AW149" s="1189">
        <f t="shared" si="330"/>
        <v>0</v>
      </c>
      <c r="AX149" s="1044">
        <f t="shared" si="339"/>
        <v>10855865.930322796</v>
      </c>
      <c r="AY149" s="1044">
        <f t="shared" si="339"/>
        <v>1693619.9099999964</v>
      </c>
      <c r="AZ149" s="1044">
        <f t="shared" si="339"/>
        <v>0</v>
      </c>
      <c r="BA149" s="1044">
        <f t="shared" si="339"/>
        <v>0</v>
      </c>
      <c r="BB149" s="1107"/>
      <c r="BC149" s="1107"/>
      <c r="BD149" s="1107"/>
      <c r="BE149" s="1107"/>
      <c r="BF149" s="1190">
        <f t="shared" si="340"/>
        <v>0</v>
      </c>
      <c r="BG149" s="1190">
        <f t="shared" si="340"/>
        <v>0</v>
      </c>
      <c r="BH149" s="1190" t="e">
        <f t="shared" si="340"/>
        <v>#DIV/0!</v>
      </c>
      <c r="BI149" s="1190" t="e">
        <f t="shared" si="332"/>
        <v>#DIV/0!</v>
      </c>
      <c r="BJ149" s="1107">
        <f t="shared" si="199"/>
        <v>501015463.2617622</v>
      </c>
      <c r="BK149" s="1110">
        <f t="shared" si="200"/>
        <v>299694623.1984213</v>
      </c>
      <c r="BL149" s="1111">
        <f t="shared" si="194"/>
        <v>0.59817439814595474</v>
      </c>
      <c r="BM149" s="1110">
        <f t="shared" si="195"/>
        <v>287145137.35809851</v>
      </c>
      <c r="BN149" s="1112">
        <f t="shared" si="347"/>
        <v>0.57312629731764531</v>
      </c>
      <c r="BO149" s="1113" t="s">
        <v>2438</v>
      </c>
      <c r="BP149" s="1435" t="s">
        <v>2449</v>
      </c>
      <c r="BQ149" s="1436" t="s">
        <v>2193</v>
      </c>
      <c r="BR149" s="1908" t="s">
        <v>596</v>
      </c>
    </row>
    <row r="150" spans="1:70" ht="29.4" customHeight="1">
      <c r="A150" s="1909" t="s">
        <v>2527</v>
      </c>
      <c r="B150" s="1910"/>
      <c r="C150" s="1911"/>
      <c r="D150" s="1911"/>
      <c r="E150" s="1912"/>
      <c r="F150" s="1912"/>
      <c r="G150" s="1913"/>
      <c r="H150" s="1912"/>
      <c r="I150" s="1912"/>
      <c r="J150" s="1913"/>
      <c r="K150" s="1912"/>
      <c r="L150" s="1912"/>
      <c r="M150" s="1913"/>
      <c r="N150" s="1913"/>
      <c r="O150" s="1913"/>
      <c r="P150" s="1914">
        <f>+(P151*Z151)+(P162*Z162)+(P172*Z172)+(P177*Z177)+(P183*Z183)</f>
        <v>1</v>
      </c>
      <c r="Q150" s="1914">
        <f>+(Q151*AA151)+(Q162*AA162)+(Q172*AA172)+(Q177*AA177)+(Q183*AA183)</f>
        <v>0.97</v>
      </c>
      <c r="R150" s="1915" t="e">
        <f>+(R151*AB151)+(R162*AB162)+(R172*AB172)+(R177*AB177)+(R183*AB183)</f>
        <v>#DIV/0!</v>
      </c>
      <c r="S150" s="1915" t="e">
        <f>+(S151*AC151)+(S162*AC162)+(S172*AC172)+(S177*AC177)+(S183*AC183)</f>
        <v>#DIV/0!</v>
      </c>
      <c r="T150" s="1916"/>
      <c r="U150" s="1917"/>
      <c r="V150" s="1918"/>
      <c r="W150" s="1919"/>
      <c r="X150" s="1914">
        <f>+(X151*Y151)+(X162*Y162)+(X172*Y172)+(X177*Y177)+(X183*Y183)</f>
        <v>0.41250666666666669</v>
      </c>
      <c r="Y150" s="1920">
        <v>0.125</v>
      </c>
      <c r="Z150" s="1920">
        <f>+Y150</f>
        <v>0.125</v>
      </c>
      <c r="AA150" s="1920">
        <f>+Z150</f>
        <v>0.125</v>
      </c>
      <c r="AB150" s="1920">
        <f t="shared" ref="AB150:AC150" si="348">+AA150</f>
        <v>0.125</v>
      </c>
      <c r="AC150" s="1920">
        <f t="shared" si="348"/>
        <v>0.125</v>
      </c>
      <c r="AD150" s="1921">
        <f>+AD151+AD162+AD172+AD177+AD183</f>
        <v>57669898895.04644</v>
      </c>
      <c r="AE150" s="1921">
        <f>+AE151+AE162+AE172+AE177+AE183</f>
        <v>53252605028</v>
      </c>
      <c r="AF150" s="1921">
        <f t="shared" ref="AF150:AG150" si="349">+AF151+AF162+AF172+AF177+AF183</f>
        <v>58374295444.516251</v>
      </c>
      <c r="AG150" s="1921">
        <f t="shared" si="349"/>
        <v>63863512024.442062</v>
      </c>
      <c r="AH150" s="1921">
        <f>+AH151+AH162+AH172+AH177+AH183</f>
        <v>52943425817.639931</v>
      </c>
      <c r="AI150" s="1921">
        <f t="shared" ref="AI150:AK150" si="350">+AI151+AI162+AI172+AI177+AI183</f>
        <v>51549486316.080002</v>
      </c>
      <c r="AJ150" s="1921">
        <f t="shared" si="350"/>
        <v>0</v>
      </c>
      <c r="AK150" s="1921">
        <f t="shared" si="350"/>
        <v>0</v>
      </c>
      <c r="AL150" s="1922">
        <f t="shared" si="337"/>
        <v>0.91804263284719423</v>
      </c>
      <c r="AM150" s="1922">
        <f t="shared" si="337"/>
        <v>0.96801811458754916</v>
      </c>
      <c r="AN150" s="1922">
        <f t="shared" si="337"/>
        <v>0</v>
      </c>
      <c r="AO150" s="1922">
        <f t="shared" si="337"/>
        <v>0</v>
      </c>
      <c r="AP150" s="1921">
        <f>+AP151+AP162+AP172+AP177+AP183</f>
        <v>52396767446.487595</v>
      </c>
      <c r="AQ150" s="1921">
        <f t="shared" ref="AQ150:AS150" si="351">+AQ151+AQ162+AQ172+AQ177+AQ183</f>
        <v>49228008939.929993</v>
      </c>
      <c r="AR150" s="1923">
        <f t="shared" si="351"/>
        <v>0</v>
      </c>
      <c r="AS150" s="1923">
        <f t="shared" si="351"/>
        <v>0</v>
      </c>
      <c r="AT150" s="1922">
        <f t="shared" si="338"/>
        <v>0.90856353921903998</v>
      </c>
      <c r="AU150" s="1922">
        <f t="shared" si="338"/>
        <v>0.9244244279513858</v>
      </c>
      <c r="AV150" s="1922">
        <f t="shared" si="338"/>
        <v>0</v>
      </c>
      <c r="AW150" s="1922">
        <f t="shared" si="330"/>
        <v>0</v>
      </c>
      <c r="AX150" s="1923">
        <f t="shared" ref="AX150:BE150" si="352">+AX151+AX162+AX172+AX177+AX183</f>
        <v>546658371.15233397</v>
      </c>
      <c r="AY150" s="1923">
        <f t="shared" si="352"/>
        <v>2321477376.1500001</v>
      </c>
      <c r="AZ150" s="1923">
        <f t="shared" si="352"/>
        <v>0</v>
      </c>
      <c r="BA150" s="1923">
        <f t="shared" si="352"/>
        <v>0</v>
      </c>
      <c r="BB150" s="1923">
        <f t="shared" si="352"/>
        <v>0</v>
      </c>
      <c r="BC150" s="1923">
        <f t="shared" si="352"/>
        <v>0</v>
      </c>
      <c r="BD150" s="1923">
        <f t="shared" si="352"/>
        <v>0</v>
      </c>
      <c r="BE150" s="1923">
        <f t="shared" si="352"/>
        <v>0</v>
      </c>
      <c r="BF150" s="1920">
        <f t="shared" si="340"/>
        <v>0</v>
      </c>
      <c r="BG150" s="1920">
        <f t="shared" si="340"/>
        <v>0</v>
      </c>
      <c r="BH150" s="1920" t="e">
        <f t="shared" si="340"/>
        <v>#DIV/0!</v>
      </c>
      <c r="BI150" s="1920" t="e">
        <f t="shared" si="332"/>
        <v>#DIV/0!</v>
      </c>
      <c r="BJ150" s="1923">
        <f t="shared" si="199"/>
        <v>233160311392.00476</v>
      </c>
      <c r="BK150" s="1921">
        <f t="shared" si="200"/>
        <v>104492912133.71994</v>
      </c>
      <c r="BL150" s="1924">
        <f t="shared" si="194"/>
        <v>0.44815908638086971</v>
      </c>
      <c r="BM150" s="1921">
        <f t="shared" si="195"/>
        <v>101624776386.41759</v>
      </c>
      <c r="BN150" s="1925">
        <f t="shared" si="347"/>
        <v>0.4358579544678991</v>
      </c>
      <c r="BO150" s="1923"/>
      <c r="BP150" s="1926"/>
      <c r="BQ150" s="1926"/>
      <c r="BR150" s="1926"/>
    </row>
    <row r="151" spans="1:70" ht="12.75" customHeight="1">
      <c r="A151" s="1927" t="s">
        <v>2528</v>
      </c>
      <c r="B151" s="1927"/>
      <c r="C151" s="1928"/>
      <c r="D151" s="1928"/>
      <c r="E151" s="1929"/>
      <c r="F151" s="1929"/>
      <c r="G151" s="1929"/>
      <c r="H151" s="1929"/>
      <c r="I151" s="1929"/>
      <c r="J151" s="1929"/>
      <c r="K151" s="1929"/>
      <c r="L151" s="1929"/>
      <c r="M151" s="1929"/>
      <c r="N151" s="1929"/>
      <c r="O151" s="1929"/>
      <c r="P151" s="1930">
        <f>+(P152*Z152)+(P159*Z159)</f>
        <v>1</v>
      </c>
      <c r="Q151" s="1930">
        <f>+(Q152*AA152)+(Q159*AA159)</f>
        <v>1</v>
      </c>
      <c r="R151" s="1931" t="e">
        <f>+(R152*AB152)+(R159*AB159)</f>
        <v>#DIV/0!</v>
      </c>
      <c r="S151" s="1931" t="e">
        <f>+(S152*AC152)+(S159*AC159)</f>
        <v>#DIV/0!</v>
      </c>
      <c r="T151" s="1932"/>
      <c r="U151" s="1927"/>
      <c r="V151" s="1933"/>
      <c r="W151" s="1934"/>
      <c r="X151" s="1930">
        <f>+(X152*Y152)+(X159*Y159)</f>
        <v>0.24714999999999998</v>
      </c>
      <c r="Y151" s="1935">
        <v>0.1</v>
      </c>
      <c r="Z151" s="1935">
        <v>0.125</v>
      </c>
      <c r="AA151" s="1935">
        <v>0.1</v>
      </c>
      <c r="AB151" s="1935">
        <v>0.1</v>
      </c>
      <c r="AC151" s="1935">
        <v>0.1</v>
      </c>
      <c r="AD151" s="1928">
        <f>+AD152+AD159</f>
        <v>371250000</v>
      </c>
      <c r="AE151" s="1928">
        <f>+AE152+AE159</f>
        <v>652500000</v>
      </c>
      <c r="AF151" s="1928">
        <f t="shared" ref="AF151:AG151" si="353">+AF152+AF159</f>
        <v>1787500000</v>
      </c>
      <c r="AG151" s="1928">
        <f t="shared" si="353"/>
        <v>1940000000</v>
      </c>
      <c r="AH151" s="1928">
        <f>+AH152+AH159</f>
        <v>370870000</v>
      </c>
      <c r="AI151" s="1928">
        <f t="shared" ref="AI151:AK151" si="354">+AI152+AI159</f>
        <v>650369056</v>
      </c>
      <c r="AJ151" s="1928">
        <f t="shared" si="354"/>
        <v>0</v>
      </c>
      <c r="AK151" s="1928">
        <f t="shared" si="354"/>
        <v>0</v>
      </c>
      <c r="AL151" s="1936">
        <f t="shared" si="337"/>
        <v>0.99897643097643096</v>
      </c>
      <c r="AM151" s="1936">
        <f t="shared" si="337"/>
        <v>0.99673418544061299</v>
      </c>
      <c r="AN151" s="1936">
        <f t="shared" si="337"/>
        <v>0</v>
      </c>
      <c r="AO151" s="1936">
        <f t="shared" si="337"/>
        <v>0</v>
      </c>
      <c r="AP151" s="1928">
        <f>+AP152+AP159</f>
        <v>265224400</v>
      </c>
      <c r="AQ151" s="1928">
        <f t="shared" ref="AQ151:AS151" si="355">+AQ152+AQ159</f>
        <v>419963689.73000002</v>
      </c>
      <c r="AR151" s="1928">
        <f t="shared" si="355"/>
        <v>0</v>
      </c>
      <c r="AS151" s="1928">
        <f t="shared" si="355"/>
        <v>0</v>
      </c>
      <c r="AT151" s="1936">
        <f t="shared" si="338"/>
        <v>0.71440915824915829</v>
      </c>
      <c r="AU151" s="1936">
        <f t="shared" si="338"/>
        <v>0.64362251299616857</v>
      </c>
      <c r="AV151" s="1936">
        <f t="shared" si="338"/>
        <v>0</v>
      </c>
      <c r="AW151" s="1936">
        <f t="shared" si="330"/>
        <v>0</v>
      </c>
      <c r="AX151" s="1928">
        <f t="shared" ref="AX151:BE151" si="356">+AX152+AX159</f>
        <v>105645600</v>
      </c>
      <c r="AY151" s="1928">
        <f t="shared" si="356"/>
        <v>230405366.27000004</v>
      </c>
      <c r="AZ151" s="1928">
        <f t="shared" si="356"/>
        <v>0</v>
      </c>
      <c r="BA151" s="1928">
        <f t="shared" si="356"/>
        <v>0</v>
      </c>
      <c r="BB151" s="1928">
        <f t="shared" si="356"/>
        <v>0</v>
      </c>
      <c r="BC151" s="1928">
        <f t="shared" si="356"/>
        <v>0</v>
      </c>
      <c r="BD151" s="1928">
        <f t="shared" si="356"/>
        <v>0</v>
      </c>
      <c r="BE151" s="1928">
        <f t="shared" si="356"/>
        <v>0</v>
      </c>
      <c r="BF151" s="1935">
        <f t="shared" si="340"/>
        <v>0</v>
      </c>
      <c r="BG151" s="1935">
        <f t="shared" si="340"/>
        <v>0</v>
      </c>
      <c r="BH151" s="1935" t="e">
        <f t="shared" si="340"/>
        <v>#DIV/0!</v>
      </c>
      <c r="BI151" s="1935" t="e">
        <f t="shared" si="332"/>
        <v>#DIV/0!</v>
      </c>
      <c r="BJ151" s="1928">
        <f t="shared" si="199"/>
        <v>4751250000</v>
      </c>
      <c r="BK151" s="1937">
        <f t="shared" si="200"/>
        <v>1021239056</v>
      </c>
      <c r="BL151" s="1938">
        <f t="shared" si="194"/>
        <v>0.21494113254406735</v>
      </c>
      <c r="BM151" s="1937">
        <f t="shared" si="195"/>
        <v>685188089.73000002</v>
      </c>
      <c r="BN151" s="1939">
        <f t="shared" si="347"/>
        <v>0.14421217358168903</v>
      </c>
      <c r="BO151" s="1928"/>
      <c r="BP151" s="1940"/>
      <c r="BQ151" s="1940"/>
      <c r="BR151" s="1940"/>
    </row>
    <row r="152" spans="1:70" ht="12.75" customHeight="1" thickBot="1">
      <c r="A152" s="1941" t="s">
        <v>2529</v>
      </c>
      <c r="B152" s="1941"/>
      <c r="C152" s="1942"/>
      <c r="D152" s="1942"/>
      <c r="E152" s="1943"/>
      <c r="F152" s="1943"/>
      <c r="G152" s="1943"/>
      <c r="H152" s="1943"/>
      <c r="I152" s="1943"/>
      <c r="J152" s="1943"/>
      <c r="K152" s="1943"/>
      <c r="L152" s="1943"/>
      <c r="M152" s="1943"/>
      <c r="N152" s="1943"/>
      <c r="O152" s="1943"/>
      <c r="P152" s="1944">
        <f>+SUMPRODUCT(P153:P158,Z153:Z158)</f>
        <v>1</v>
      </c>
      <c r="Q152" s="1945">
        <f>+SUMPRODUCT(Q153:Q158,AA153:AA158)</f>
        <v>1</v>
      </c>
      <c r="R152" s="1946" t="e">
        <f>+SUMPRODUCT(R153:R158,AB153:AB158)</f>
        <v>#DIV/0!</v>
      </c>
      <c r="S152" s="1946" t="e">
        <f>+SUMPRODUCT(S153:S158,AC153:AC158)</f>
        <v>#DIV/0!</v>
      </c>
      <c r="T152" s="1947"/>
      <c r="U152" s="1941"/>
      <c r="V152" s="1948"/>
      <c r="W152" s="1949"/>
      <c r="X152" s="1944">
        <f>+SUMPRODUCT(X153:X158,Y153:Y158)</f>
        <v>0.111</v>
      </c>
      <c r="Y152" s="1945">
        <v>0.65</v>
      </c>
      <c r="Z152" s="1945">
        <v>0.65</v>
      </c>
      <c r="AA152" s="1945">
        <v>0.65</v>
      </c>
      <c r="AB152" s="1945">
        <v>0.65</v>
      </c>
      <c r="AC152" s="1945">
        <v>0.65</v>
      </c>
      <c r="AD152" s="1942">
        <f>SUM(AD153:AD158)</f>
        <v>140000000</v>
      </c>
      <c r="AE152" s="1942">
        <f>SUM(AE153:AE158)</f>
        <v>324000000</v>
      </c>
      <c r="AF152" s="1942">
        <f t="shared" ref="AF152:AK152" si="357">SUM(AF153:AF158)</f>
        <v>1310000000</v>
      </c>
      <c r="AG152" s="1942">
        <f t="shared" si="357"/>
        <v>1340000000</v>
      </c>
      <c r="AH152" s="1942">
        <f t="shared" si="357"/>
        <v>140000000</v>
      </c>
      <c r="AI152" s="1942">
        <f t="shared" si="357"/>
        <v>322987686</v>
      </c>
      <c r="AJ152" s="1942">
        <f t="shared" si="357"/>
        <v>0</v>
      </c>
      <c r="AK152" s="1942">
        <f t="shared" si="357"/>
        <v>0</v>
      </c>
      <c r="AL152" s="1950">
        <f t="shared" si="337"/>
        <v>1</v>
      </c>
      <c r="AM152" s="1950">
        <f t="shared" si="337"/>
        <v>0.99687557407407412</v>
      </c>
      <c r="AN152" s="1950">
        <f t="shared" si="337"/>
        <v>0</v>
      </c>
      <c r="AO152" s="1950">
        <f t="shared" si="337"/>
        <v>0</v>
      </c>
      <c r="AP152" s="1942">
        <f t="shared" ref="AP152:AS152" si="358">SUM(AP153:AP158)</f>
        <v>78780000</v>
      </c>
      <c r="AQ152" s="1942">
        <f t="shared" si="358"/>
        <v>101477380.15000001</v>
      </c>
      <c r="AR152" s="1942">
        <f t="shared" si="358"/>
        <v>0</v>
      </c>
      <c r="AS152" s="1942">
        <f t="shared" si="358"/>
        <v>0</v>
      </c>
      <c r="AT152" s="1950">
        <f t="shared" si="338"/>
        <v>0.56271428571428572</v>
      </c>
      <c r="AU152" s="1950">
        <f t="shared" si="338"/>
        <v>0.31320179058641978</v>
      </c>
      <c r="AV152" s="1950">
        <f t="shared" si="338"/>
        <v>0</v>
      </c>
      <c r="AW152" s="1950">
        <f t="shared" si="330"/>
        <v>0</v>
      </c>
      <c r="AX152" s="1942">
        <f t="shared" ref="AX152:BE152" si="359">SUM(AX153:AX158)</f>
        <v>61220000</v>
      </c>
      <c r="AY152" s="1942">
        <f t="shared" si="359"/>
        <v>221510305.85000002</v>
      </c>
      <c r="AZ152" s="1942">
        <f t="shared" si="359"/>
        <v>0</v>
      </c>
      <c r="BA152" s="1942">
        <f t="shared" si="359"/>
        <v>0</v>
      </c>
      <c r="BB152" s="1942">
        <f t="shared" si="359"/>
        <v>0</v>
      </c>
      <c r="BC152" s="1942">
        <f t="shared" si="359"/>
        <v>0</v>
      </c>
      <c r="BD152" s="1942">
        <f t="shared" si="359"/>
        <v>0</v>
      </c>
      <c r="BE152" s="1942">
        <f t="shared" si="359"/>
        <v>0</v>
      </c>
      <c r="BF152" s="1945">
        <f t="shared" si="340"/>
        <v>0</v>
      </c>
      <c r="BG152" s="1945">
        <f t="shared" si="340"/>
        <v>0</v>
      </c>
      <c r="BH152" s="1945" t="e">
        <f t="shared" si="340"/>
        <v>#DIV/0!</v>
      </c>
      <c r="BI152" s="1945" t="e">
        <f t="shared" si="332"/>
        <v>#DIV/0!</v>
      </c>
      <c r="BJ152" s="1942">
        <f t="shared" si="199"/>
        <v>3114000000</v>
      </c>
      <c r="BK152" s="1951">
        <f t="shared" si="200"/>
        <v>462987686</v>
      </c>
      <c r="BL152" s="1952">
        <f t="shared" si="194"/>
        <v>0.14867941104688503</v>
      </c>
      <c r="BM152" s="1951">
        <f t="shared" si="195"/>
        <v>180257380.15000001</v>
      </c>
      <c r="BN152" s="1953">
        <f t="shared" si="347"/>
        <v>5.7886120793192039E-2</v>
      </c>
      <c r="BO152" s="1942"/>
      <c r="BP152" s="1954"/>
      <c r="BQ152" s="1954"/>
      <c r="BR152" s="1954"/>
    </row>
    <row r="153" spans="1:70" ht="12.75" customHeight="1" thickBot="1">
      <c r="A153" s="1788" t="s">
        <v>2530</v>
      </c>
      <c r="B153" s="1955" t="s">
        <v>2531</v>
      </c>
      <c r="C153" s="1025" t="s">
        <v>2181</v>
      </c>
      <c r="D153" s="1956">
        <v>10</v>
      </c>
      <c r="E153" s="1957">
        <v>10</v>
      </c>
      <c r="F153" s="1957">
        <v>10</v>
      </c>
      <c r="G153" s="1958">
        <v>0</v>
      </c>
      <c r="H153" s="1627">
        <v>11</v>
      </c>
      <c r="I153" s="1030">
        <v>10</v>
      </c>
      <c r="J153" s="1030"/>
      <c r="K153" s="1030"/>
      <c r="L153" s="1030"/>
      <c r="M153" s="1031"/>
      <c r="N153" s="1031"/>
      <c r="O153" s="1031"/>
      <c r="P153" s="1032">
        <f t="shared" ref="P153:S158" si="360">IF((H153+L153)/D153&gt;=100%,100%,(H153+L153)/D153)</f>
        <v>1</v>
      </c>
      <c r="Q153" s="1032">
        <f t="shared" si="360"/>
        <v>1</v>
      </c>
      <c r="R153" s="1032">
        <f t="shared" si="360"/>
        <v>0</v>
      </c>
      <c r="S153" s="1032" t="e">
        <f t="shared" si="360"/>
        <v>#DIV/0!</v>
      </c>
      <c r="T153" s="1702" t="s">
        <v>2532</v>
      </c>
      <c r="U153" s="1034">
        <v>46022</v>
      </c>
      <c r="V153" s="1035">
        <f t="shared" ref="V153:V158" si="361">SUM(D153:G153)</f>
        <v>30</v>
      </c>
      <c r="W153" s="1035">
        <f t="shared" ref="W153:W158" si="362">SUM(H153:N153)</f>
        <v>21</v>
      </c>
      <c r="X153" s="1279">
        <f t="shared" ref="X153:X158" si="363">IF(W153/V153&gt;=100%,100%,W153/V153)</f>
        <v>0.7</v>
      </c>
      <c r="Y153" s="1037">
        <v>6.7500000000000004E-2</v>
      </c>
      <c r="Z153" s="1037">
        <v>0.45</v>
      </c>
      <c r="AA153" s="1037">
        <v>0.2</v>
      </c>
      <c r="AB153" s="1037">
        <v>0.2</v>
      </c>
      <c r="AC153" s="1037">
        <v>0.2</v>
      </c>
      <c r="AD153" s="1137">
        <v>98000000</v>
      </c>
      <c r="AE153" s="1137">
        <f>270000000/2</f>
        <v>135000000</v>
      </c>
      <c r="AF153" s="1137">
        <v>140000000</v>
      </c>
      <c r="AG153" s="1137">
        <v>0</v>
      </c>
      <c r="AH153" s="1137">
        <v>98000000</v>
      </c>
      <c r="AI153" s="1137">
        <f>269114067/2</f>
        <v>134557033.5</v>
      </c>
      <c r="AJ153" s="1137"/>
      <c r="AK153" s="1137"/>
      <c r="AL153" s="1048">
        <f t="shared" si="337"/>
        <v>1</v>
      </c>
      <c r="AM153" s="1048">
        <f t="shared" si="337"/>
        <v>0.9967187666666667</v>
      </c>
      <c r="AN153" s="1048">
        <f t="shared" si="337"/>
        <v>0</v>
      </c>
      <c r="AO153" s="1048" t="e">
        <f t="shared" si="337"/>
        <v>#DIV/0!</v>
      </c>
      <c r="AP153" s="1283">
        <v>36780000</v>
      </c>
      <c r="AQ153" s="1041">
        <f>90219800.64/2</f>
        <v>45109900.32</v>
      </c>
      <c r="AR153" s="1552"/>
      <c r="AS153" s="1042"/>
      <c r="AT153" s="1043">
        <f t="shared" si="338"/>
        <v>0.3753061224489796</v>
      </c>
      <c r="AU153" s="1043">
        <f t="shared" si="338"/>
        <v>0.33414740977777779</v>
      </c>
      <c r="AV153" s="1043">
        <f t="shared" si="338"/>
        <v>0</v>
      </c>
      <c r="AW153" s="1043" t="e">
        <f t="shared" si="330"/>
        <v>#DIV/0!</v>
      </c>
      <c r="AX153" s="1044">
        <f t="shared" ref="AX153:BA158" si="364">+AH153-AP153</f>
        <v>61220000</v>
      </c>
      <c r="AY153" s="1044">
        <f t="shared" si="364"/>
        <v>89447133.180000007</v>
      </c>
      <c r="AZ153" s="1044">
        <f t="shared" si="364"/>
        <v>0</v>
      </c>
      <c r="BA153" s="1044">
        <f t="shared" si="364"/>
        <v>0</v>
      </c>
      <c r="BB153" s="1283"/>
      <c r="BC153" s="1283"/>
      <c r="BD153" s="1283"/>
      <c r="BE153" s="1283"/>
      <c r="BF153" s="1045">
        <f t="shared" si="340"/>
        <v>0</v>
      </c>
      <c r="BG153" s="1045">
        <f t="shared" si="340"/>
        <v>0</v>
      </c>
      <c r="BH153" s="1045" t="e">
        <f t="shared" si="340"/>
        <v>#DIV/0!</v>
      </c>
      <c r="BI153" s="1045" t="e">
        <f t="shared" si="332"/>
        <v>#DIV/0!</v>
      </c>
      <c r="BJ153" s="1283">
        <f t="shared" si="199"/>
        <v>373000000</v>
      </c>
      <c r="BK153" s="1046">
        <f t="shared" si="200"/>
        <v>232557033.5</v>
      </c>
      <c r="BL153" s="1047">
        <f t="shared" si="194"/>
        <v>0.62347730160857906</v>
      </c>
      <c r="BM153" s="1046">
        <f t="shared" si="195"/>
        <v>81889900.319999993</v>
      </c>
      <c r="BN153" s="1048">
        <f t="shared" si="347"/>
        <v>0.21954396868632706</v>
      </c>
      <c r="BO153" s="1049"/>
      <c r="BP153" s="1409" t="s">
        <v>2533</v>
      </c>
      <c r="BQ153" s="1531" t="s">
        <v>2534</v>
      </c>
      <c r="BR153" s="1469" t="s">
        <v>2535</v>
      </c>
    </row>
    <row r="154" spans="1:70" ht="12.75" customHeight="1" thickBot="1">
      <c r="A154" s="1959" t="s">
        <v>2536</v>
      </c>
      <c r="B154" s="1960" t="s">
        <v>2537</v>
      </c>
      <c r="C154" s="1055" t="s">
        <v>2181</v>
      </c>
      <c r="D154" s="1961">
        <v>0</v>
      </c>
      <c r="E154" s="1962">
        <v>10</v>
      </c>
      <c r="F154" s="1962">
        <v>20</v>
      </c>
      <c r="G154" s="1962">
        <v>30</v>
      </c>
      <c r="H154" s="1659"/>
      <c r="I154" s="1060">
        <v>10</v>
      </c>
      <c r="J154" s="1060"/>
      <c r="K154" s="1060"/>
      <c r="L154" s="1060"/>
      <c r="M154" s="1061"/>
      <c r="N154" s="1061"/>
      <c r="O154" s="1061"/>
      <c r="P154" s="1062"/>
      <c r="Q154" s="1062">
        <f t="shared" si="360"/>
        <v>1</v>
      </c>
      <c r="R154" s="1062">
        <f t="shared" si="360"/>
        <v>0</v>
      </c>
      <c r="S154" s="1062">
        <f t="shared" si="360"/>
        <v>0</v>
      </c>
      <c r="T154" s="1136" t="s">
        <v>2538</v>
      </c>
      <c r="U154" s="1034">
        <v>46022</v>
      </c>
      <c r="V154" s="1035">
        <f t="shared" si="361"/>
        <v>60</v>
      </c>
      <c r="W154" s="1035">
        <f t="shared" si="362"/>
        <v>10</v>
      </c>
      <c r="X154" s="1279">
        <f t="shared" si="363"/>
        <v>0.16666666666666666</v>
      </c>
      <c r="Y154" s="1065">
        <v>8.2500000000000004E-2</v>
      </c>
      <c r="Z154" s="1065">
        <v>0</v>
      </c>
      <c r="AA154" s="1065">
        <v>0.3</v>
      </c>
      <c r="AB154" s="1065">
        <v>0.3</v>
      </c>
      <c r="AC154" s="1065">
        <v>0.3</v>
      </c>
      <c r="AD154" s="1066">
        <v>0</v>
      </c>
      <c r="AE154" s="1137">
        <f>270000000/2</f>
        <v>135000000</v>
      </c>
      <c r="AF154" s="1137">
        <v>160000000</v>
      </c>
      <c r="AG154" s="1137">
        <v>180000000</v>
      </c>
      <c r="AH154" s="1066">
        <v>0</v>
      </c>
      <c r="AI154" s="1137">
        <f>269114067/2</f>
        <v>134557033.5</v>
      </c>
      <c r="AJ154" s="1137"/>
      <c r="AK154" s="1137"/>
      <c r="AL154" s="1112" t="e">
        <f t="shared" si="337"/>
        <v>#DIV/0!</v>
      </c>
      <c r="AM154" s="1112">
        <f t="shared" si="337"/>
        <v>0.9967187666666667</v>
      </c>
      <c r="AN154" s="1112">
        <f t="shared" si="337"/>
        <v>0</v>
      </c>
      <c r="AO154" s="1112">
        <f t="shared" si="337"/>
        <v>0</v>
      </c>
      <c r="AP154" s="1070">
        <v>0</v>
      </c>
      <c r="AQ154" s="1041">
        <f>90219800.64/2</f>
        <v>45109900.32</v>
      </c>
      <c r="AR154" s="1560"/>
      <c r="AS154" s="1069"/>
      <c r="AT154" s="1140" t="e">
        <f t="shared" si="338"/>
        <v>#DIV/0!</v>
      </c>
      <c r="AU154" s="1140">
        <f t="shared" si="338"/>
        <v>0.33414740977777779</v>
      </c>
      <c r="AV154" s="1140">
        <f t="shared" si="338"/>
        <v>0</v>
      </c>
      <c r="AW154" s="1140">
        <f t="shared" si="330"/>
        <v>0</v>
      </c>
      <c r="AX154" s="1044">
        <f t="shared" si="364"/>
        <v>0</v>
      </c>
      <c r="AY154" s="1044">
        <f t="shared" si="364"/>
        <v>89447133.180000007</v>
      </c>
      <c r="AZ154" s="1044">
        <f t="shared" si="364"/>
        <v>0</v>
      </c>
      <c r="BA154" s="1044">
        <f t="shared" si="364"/>
        <v>0</v>
      </c>
      <c r="BB154" s="1070"/>
      <c r="BC154" s="1070"/>
      <c r="BD154" s="1070"/>
      <c r="BE154" s="1070"/>
      <c r="BF154" s="1071" t="e">
        <f t="shared" si="340"/>
        <v>#DIV/0!</v>
      </c>
      <c r="BG154" s="1071">
        <f t="shared" si="340"/>
        <v>0</v>
      </c>
      <c r="BH154" s="1071" t="e">
        <f t="shared" si="340"/>
        <v>#DIV/0!</v>
      </c>
      <c r="BI154" s="1071" t="e">
        <f t="shared" si="332"/>
        <v>#DIV/0!</v>
      </c>
      <c r="BJ154" s="1070">
        <f t="shared" si="199"/>
        <v>475000000</v>
      </c>
      <c r="BK154" s="1072">
        <f t="shared" si="200"/>
        <v>134557033.5</v>
      </c>
      <c r="BL154" s="1073">
        <f t="shared" si="194"/>
        <v>0.2832779652631579</v>
      </c>
      <c r="BM154" s="1072">
        <f t="shared" si="195"/>
        <v>45109900.32</v>
      </c>
      <c r="BN154" s="1074">
        <f t="shared" si="347"/>
        <v>9.4968211199999999E-2</v>
      </c>
      <c r="BO154" s="1075"/>
      <c r="BP154" s="1321" t="s">
        <v>2533</v>
      </c>
      <c r="BQ154" s="1531" t="s">
        <v>2534</v>
      </c>
      <c r="BR154" s="1469" t="s">
        <v>2535</v>
      </c>
    </row>
    <row r="155" spans="1:70" ht="12.75" customHeight="1" thickBot="1">
      <c r="A155" s="1963" t="s">
        <v>2539</v>
      </c>
      <c r="B155" s="1960" t="s">
        <v>2540</v>
      </c>
      <c r="C155" s="1055" t="s">
        <v>2181</v>
      </c>
      <c r="D155" s="1961">
        <v>1</v>
      </c>
      <c r="E155" s="1962">
        <v>1</v>
      </c>
      <c r="F155" s="1962">
        <v>1</v>
      </c>
      <c r="G155" s="1964">
        <v>1</v>
      </c>
      <c r="H155" s="1659">
        <v>1</v>
      </c>
      <c r="I155" s="1060">
        <v>1</v>
      </c>
      <c r="J155" s="1060"/>
      <c r="K155" s="1060"/>
      <c r="L155" s="1060"/>
      <c r="M155" s="1061"/>
      <c r="N155" s="1061"/>
      <c r="O155" s="1061"/>
      <c r="P155" s="1062">
        <f t="shared" si="360"/>
        <v>1</v>
      </c>
      <c r="Q155" s="1062">
        <f t="shared" si="360"/>
        <v>1</v>
      </c>
      <c r="R155" s="1062">
        <f t="shared" si="360"/>
        <v>0</v>
      </c>
      <c r="S155" s="1062">
        <f t="shared" si="360"/>
        <v>0</v>
      </c>
      <c r="T155" s="1669" t="s">
        <v>2541</v>
      </c>
      <c r="U155" s="1034">
        <v>46022</v>
      </c>
      <c r="V155" s="1035">
        <f t="shared" si="361"/>
        <v>4</v>
      </c>
      <c r="W155" s="1035">
        <f t="shared" si="362"/>
        <v>2</v>
      </c>
      <c r="X155" s="1279">
        <f t="shared" si="363"/>
        <v>0.5</v>
      </c>
      <c r="Y155" s="1065">
        <v>0.1</v>
      </c>
      <c r="Z155" s="1065">
        <v>0.55000000000000004</v>
      </c>
      <c r="AA155" s="1065">
        <v>0.5</v>
      </c>
      <c r="AB155" s="1065">
        <v>0.5</v>
      </c>
      <c r="AC155" s="1065">
        <v>0.5</v>
      </c>
      <c r="AD155" s="1066">
        <v>42000000</v>
      </c>
      <c r="AE155" s="1066">
        <v>54000000</v>
      </c>
      <c r="AF155" s="1066">
        <v>60000000</v>
      </c>
      <c r="AG155" s="1066">
        <v>60000000</v>
      </c>
      <c r="AH155" s="1066">
        <v>42000000</v>
      </c>
      <c r="AI155" s="1066">
        <v>53873619</v>
      </c>
      <c r="AJ155" s="1066"/>
      <c r="AK155" s="1066"/>
      <c r="AL155" s="1074">
        <f t="shared" si="337"/>
        <v>1</v>
      </c>
      <c r="AM155" s="1074">
        <f t="shared" si="337"/>
        <v>0.99765961111111112</v>
      </c>
      <c r="AN155" s="1074">
        <f t="shared" si="337"/>
        <v>0</v>
      </c>
      <c r="AO155" s="1074">
        <f t="shared" si="337"/>
        <v>0</v>
      </c>
      <c r="AP155" s="1070">
        <v>42000000</v>
      </c>
      <c r="AQ155" s="1068">
        <v>11257579.51</v>
      </c>
      <c r="AR155" s="1560"/>
      <c r="AS155" s="1069"/>
      <c r="AT155" s="1140">
        <f t="shared" si="338"/>
        <v>1</v>
      </c>
      <c r="AU155" s="1140">
        <f t="shared" si="338"/>
        <v>0.20847369462962961</v>
      </c>
      <c r="AV155" s="1140">
        <f t="shared" si="338"/>
        <v>0</v>
      </c>
      <c r="AW155" s="1140">
        <f t="shared" si="330"/>
        <v>0</v>
      </c>
      <c r="AX155" s="1044">
        <f t="shared" si="364"/>
        <v>0</v>
      </c>
      <c r="AY155" s="1044">
        <f t="shared" si="364"/>
        <v>42616039.490000002</v>
      </c>
      <c r="AZ155" s="1044">
        <f t="shared" si="364"/>
        <v>0</v>
      </c>
      <c r="BA155" s="1044">
        <f t="shared" si="364"/>
        <v>0</v>
      </c>
      <c r="BB155" s="1070"/>
      <c r="BC155" s="1070"/>
      <c r="BD155" s="1070"/>
      <c r="BE155" s="1070"/>
      <c r="BF155" s="1071" t="e">
        <f t="shared" si="340"/>
        <v>#DIV/0!</v>
      </c>
      <c r="BG155" s="1071">
        <f t="shared" si="340"/>
        <v>0</v>
      </c>
      <c r="BH155" s="1071" t="e">
        <f t="shared" si="340"/>
        <v>#DIV/0!</v>
      </c>
      <c r="BI155" s="1071" t="e">
        <f t="shared" si="332"/>
        <v>#DIV/0!</v>
      </c>
      <c r="BJ155" s="1070">
        <f t="shared" si="199"/>
        <v>216000000</v>
      </c>
      <c r="BK155" s="1072">
        <f t="shared" si="200"/>
        <v>95873619</v>
      </c>
      <c r="BL155" s="1073">
        <f t="shared" si="194"/>
        <v>0.4438593472222222</v>
      </c>
      <c r="BM155" s="1072">
        <f t="shared" si="195"/>
        <v>53257579.509999998</v>
      </c>
      <c r="BN155" s="1074">
        <f t="shared" si="347"/>
        <v>0.24656286810185185</v>
      </c>
      <c r="BO155" s="1075"/>
      <c r="BP155" s="1321" t="s">
        <v>2533</v>
      </c>
      <c r="BQ155" s="1531" t="s">
        <v>2193</v>
      </c>
      <c r="BR155" s="1469" t="s">
        <v>2542</v>
      </c>
    </row>
    <row r="156" spans="1:70" ht="12.75" customHeight="1" thickBot="1">
      <c r="A156" s="1965" t="s">
        <v>2543</v>
      </c>
      <c r="B156" s="1966" t="s">
        <v>2544</v>
      </c>
      <c r="C156" s="1055" t="s">
        <v>2181</v>
      </c>
      <c r="D156" s="1961">
        <v>0</v>
      </c>
      <c r="E156" s="1962">
        <v>0</v>
      </c>
      <c r="F156" s="1962">
        <v>1</v>
      </c>
      <c r="G156" s="1964">
        <v>0</v>
      </c>
      <c r="H156" s="1659"/>
      <c r="I156" s="1060"/>
      <c r="J156" s="1060"/>
      <c r="K156" s="1060"/>
      <c r="L156" s="1060"/>
      <c r="M156" s="1061"/>
      <c r="N156" s="1061"/>
      <c r="O156" s="1061"/>
      <c r="P156" s="1062"/>
      <c r="Q156" s="1062"/>
      <c r="R156" s="1062">
        <f t="shared" si="360"/>
        <v>0</v>
      </c>
      <c r="S156" s="1062" t="e">
        <f t="shared" si="360"/>
        <v>#DIV/0!</v>
      </c>
      <c r="T156" s="1793"/>
      <c r="U156" s="1034">
        <v>46022</v>
      </c>
      <c r="V156" s="1035">
        <f t="shared" si="361"/>
        <v>1</v>
      </c>
      <c r="W156" s="1035">
        <f t="shared" si="362"/>
        <v>0</v>
      </c>
      <c r="X156" s="1279">
        <f t="shared" si="363"/>
        <v>0</v>
      </c>
      <c r="Y156" s="1065">
        <v>0.35</v>
      </c>
      <c r="Z156" s="1065">
        <v>0</v>
      </c>
      <c r="AA156" s="1065">
        <v>0</v>
      </c>
      <c r="AB156" s="1065">
        <v>0</v>
      </c>
      <c r="AC156" s="1065">
        <v>0</v>
      </c>
      <c r="AD156" s="1066">
        <v>0</v>
      </c>
      <c r="AE156" s="1066">
        <v>0</v>
      </c>
      <c r="AF156" s="1066">
        <v>950000000</v>
      </c>
      <c r="AG156" s="1066">
        <v>0</v>
      </c>
      <c r="AH156" s="1066">
        <v>0</v>
      </c>
      <c r="AI156" s="1066"/>
      <c r="AJ156" s="1066"/>
      <c r="AK156" s="1066"/>
      <c r="AL156" s="1112" t="e">
        <f t="shared" si="337"/>
        <v>#DIV/0!</v>
      </c>
      <c r="AM156" s="1112" t="e">
        <f t="shared" si="337"/>
        <v>#DIV/0!</v>
      </c>
      <c r="AN156" s="1112">
        <f t="shared" si="337"/>
        <v>0</v>
      </c>
      <c r="AO156" s="1112" t="e">
        <f t="shared" si="337"/>
        <v>#DIV/0!</v>
      </c>
      <c r="AP156" s="1070">
        <v>0</v>
      </c>
      <c r="AQ156" s="1068"/>
      <c r="AR156" s="1560"/>
      <c r="AS156" s="1069"/>
      <c r="AT156" s="1140" t="e">
        <f t="shared" si="338"/>
        <v>#DIV/0!</v>
      </c>
      <c r="AU156" s="1140" t="e">
        <f t="shared" si="338"/>
        <v>#DIV/0!</v>
      </c>
      <c r="AV156" s="1140">
        <f t="shared" si="338"/>
        <v>0</v>
      </c>
      <c r="AW156" s="1140" t="e">
        <f t="shared" si="330"/>
        <v>#DIV/0!</v>
      </c>
      <c r="AX156" s="1044">
        <f t="shared" si="364"/>
        <v>0</v>
      </c>
      <c r="AY156" s="1044">
        <f t="shared" si="364"/>
        <v>0</v>
      </c>
      <c r="AZ156" s="1044">
        <f t="shared" si="364"/>
        <v>0</v>
      </c>
      <c r="BA156" s="1044">
        <f t="shared" si="364"/>
        <v>0</v>
      </c>
      <c r="BB156" s="1070"/>
      <c r="BC156" s="1070"/>
      <c r="BD156" s="1070"/>
      <c r="BE156" s="1070"/>
      <c r="BF156" s="1071" t="e">
        <f t="shared" si="340"/>
        <v>#DIV/0!</v>
      </c>
      <c r="BG156" s="1071" t="e">
        <f t="shared" si="340"/>
        <v>#DIV/0!</v>
      </c>
      <c r="BH156" s="1071" t="e">
        <f t="shared" si="340"/>
        <v>#DIV/0!</v>
      </c>
      <c r="BI156" s="1071" t="e">
        <f t="shared" si="332"/>
        <v>#DIV/0!</v>
      </c>
      <c r="BJ156" s="1070">
        <f t="shared" si="199"/>
        <v>950000000</v>
      </c>
      <c r="BK156" s="1072">
        <f t="shared" si="200"/>
        <v>0</v>
      </c>
      <c r="BL156" s="1073">
        <f t="shared" ref="BL156:BL219" si="365">+BK156/BJ156</f>
        <v>0</v>
      </c>
      <c r="BM156" s="1072">
        <f t="shared" ref="BM156:BM219" si="366">+AP156+AQ156+AR156+AS156</f>
        <v>0</v>
      </c>
      <c r="BN156" s="1074">
        <f t="shared" si="347"/>
        <v>0</v>
      </c>
      <c r="BO156" s="1075"/>
      <c r="BP156" s="1321" t="s">
        <v>2533</v>
      </c>
      <c r="BQ156" s="1531" t="s">
        <v>2193</v>
      </c>
      <c r="BR156" s="1469" t="s">
        <v>2542</v>
      </c>
    </row>
    <row r="157" spans="1:70" ht="12.75" customHeight="1" thickBot="1">
      <c r="A157" s="1965" t="s">
        <v>2545</v>
      </c>
      <c r="B157" s="1960" t="s">
        <v>2546</v>
      </c>
      <c r="C157" s="1055" t="s">
        <v>2181</v>
      </c>
      <c r="D157" s="1961">
        <v>0</v>
      </c>
      <c r="E157" s="1962">
        <v>0</v>
      </c>
      <c r="F157" s="1962">
        <v>0</v>
      </c>
      <c r="G157" s="1964">
        <v>1</v>
      </c>
      <c r="H157" s="1659"/>
      <c r="I157" s="1060"/>
      <c r="J157" s="1060"/>
      <c r="K157" s="1060"/>
      <c r="L157" s="1060"/>
      <c r="M157" s="1061"/>
      <c r="N157" s="1061"/>
      <c r="O157" s="1061"/>
      <c r="P157" s="1062"/>
      <c r="Q157" s="1062"/>
      <c r="R157" s="1062" t="e">
        <f t="shared" si="360"/>
        <v>#DIV/0!</v>
      </c>
      <c r="S157" s="1062">
        <f t="shared" si="360"/>
        <v>0</v>
      </c>
      <c r="T157" s="1793"/>
      <c r="U157" s="1034">
        <v>46022</v>
      </c>
      <c r="V157" s="1035">
        <f t="shared" si="361"/>
        <v>1</v>
      </c>
      <c r="W157" s="1035">
        <f t="shared" si="362"/>
        <v>0</v>
      </c>
      <c r="X157" s="1279">
        <f t="shared" si="363"/>
        <v>0</v>
      </c>
      <c r="Y157" s="1065">
        <v>0.35</v>
      </c>
      <c r="Z157" s="1065">
        <v>0</v>
      </c>
      <c r="AA157" s="1065">
        <v>0</v>
      </c>
      <c r="AB157" s="1065">
        <v>0</v>
      </c>
      <c r="AC157" s="1065">
        <v>0</v>
      </c>
      <c r="AD157" s="1066">
        <v>0</v>
      </c>
      <c r="AE157" s="1066">
        <v>0</v>
      </c>
      <c r="AF157" s="1066">
        <v>0</v>
      </c>
      <c r="AG157" s="1066">
        <v>1000000000</v>
      </c>
      <c r="AH157" s="1066">
        <v>0</v>
      </c>
      <c r="AI157" s="1066"/>
      <c r="AJ157" s="1066"/>
      <c r="AK157" s="1066"/>
      <c r="AL157" s="1112" t="e">
        <f t="shared" si="337"/>
        <v>#DIV/0!</v>
      </c>
      <c r="AM157" s="1112" t="e">
        <f t="shared" si="337"/>
        <v>#DIV/0!</v>
      </c>
      <c r="AN157" s="1112" t="e">
        <f t="shared" si="337"/>
        <v>#DIV/0!</v>
      </c>
      <c r="AO157" s="1112">
        <f t="shared" si="337"/>
        <v>0</v>
      </c>
      <c r="AP157" s="1070">
        <v>0</v>
      </c>
      <c r="AQ157" s="1068"/>
      <c r="AR157" s="1560"/>
      <c r="AS157" s="1069"/>
      <c r="AT157" s="1140" t="e">
        <f t="shared" si="338"/>
        <v>#DIV/0!</v>
      </c>
      <c r="AU157" s="1140" t="e">
        <f t="shared" si="338"/>
        <v>#DIV/0!</v>
      </c>
      <c r="AV157" s="1140" t="e">
        <f t="shared" si="338"/>
        <v>#DIV/0!</v>
      </c>
      <c r="AW157" s="1140">
        <f t="shared" si="330"/>
        <v>0</v>
      </c>
      <c r="AX157" s="1044">
        <f t="shared" si="364"/>
        <v>0</v>
      </c>
      <c r="AY157" s="1044">
        <f t="shared" si="364"/>
        <v>0</v>
      </c>
      <c r="AZ157" s="1044">
        <f t="shared" si="364"/>
        <v>0</v>
      </c>
      <c r="BA157" s="1044">
        <f t="shared" si="364"/>
        <v>0</v>
      </c>
      <c r="BB157" s="1070"/>
      <c r="BC157" s="1070"/>
      <c r="BD157" s="1070"/>
      <c r="BE157" s="1070"/>
      <c r="BF157" s="1071" t="e">
        <f t="shared" si="340"/>
        <v>#DIV/0!</v>
      </c>
      <c r="BG157" s="1071" t="e">
        <f t="shared" si="340"/>
        <v>#DIV/0!</v>
      </c>
      <c r="BH157" s="1071" t="e">
        <f t="shared" si="340"/>
        <v>#DIV/0!</v>
      </c>
      <c r="BI157" s="1071" t="e">
        <f t="shared" si="332"/>
        <v>#DIV/0!</v>
      </c>
      <c r="BJ157" s="1070">
        <f t="shared" ref="BJ157:BJ220" si="367">+AD157+AE157+AF157+AG157</f>
        <v>1000000000</v>
      </c>
      <c r="BK157" s="1072">
        <f t="shared" ref="BK157:BK220" si="368">+AH157+AI157+AJ157+AK157</f>
        <v>0</v>
      </c>
      <c r="BL157" s="1073">
        <f t="shared" si="365"/>
        <v>0</v>
      </c>
      <c r="BM157" s="1072">
        <f t="shared" si="366"/>
        <v>0</v>
      </c>
      <c r="BN157" s="1074">
        <f t="shared" si="347"/>
        <v>0</v>
      </c>
      <c r="BO157" s="1075"/>
      <c r="BP157" s="1321" t="s">
        <v>2533</v>
      </c>
      <c r="BQ157" s="1531" t="s">
        <v>2193</v>
      </c>
      <c r="BR157" s="1469" t="s">
        <v>2542</v>
      </c>
    </row>
    <row r="158" spans="1:70" ht="12.75" customHeight="1" thickBot="1">
      <c r="A158" s="1967" t="s">
        <v>2547</v>
      </c>
      <c r="B158" s="1968" t="s">
        <v>2548</v>
      </c>
      <c r="C158" s="1152" t="s">
        <v>2181</v>
      </c>
      <c r="D158" s="1969">
        <v>0</v>
      </c>
      <c r="E158" s="1970">
        <v>0</v>
      </c>
      <c r="F158" s="1970">
        <v>1</v>
      </c>
      <c r="G158" s="1971">
        <v>0</v>
      </c>
      <c r="H158" s="1634"/>
      <c r="I158" s="1182"/>
      <c r="J158" s="1182"/>
      <c r="K158" s="1182"/>
      <c r="L158" s="1182"/>
      <c r="M158" s="1101"/>
      <c r="N158" s="1101"/>
      <c r="O158" s="1101"/>
      <c r="P158" s="1102"/>
      <c r="Q158" s="1102"/>
      <c r="R158" s="1102">
        <f t="shared" si="360"/>
        <v>0</v>
      </c>
      <c r="S158" s="1102" t="e">
        <f t="shared" si="360"/>
        <v>#DIV/0!</v>
      </c>
      <c r="T158" s="1972"/>
      <c r="U158" s="1034">
        <v>46022</v>
      </c>
      <c r="V158" s="1035">
        <f t="shared" si="361"/>
        <v>1</v>
      </c>
      <c r="W158" s="1035">
        <f t="shared" si="362"/>
        <v>0</v>
      </c>
      <c r="X158" s="1279">
        <f t="shared" si="363"/>
        <v>0</v>
      </c>
      <c r="Y158" s="1104">
        <v>0.05</v>
      </c>
      <c r="Z158" s="1104">
        <v>0</v>
      </c>
      <c r="AA158" s="1104">
        <v>0</v>
      </c>
      <c r="AB158" s="1104">
        <v>0</v>
      </c>
      <c r="AC158" s="1104">
        <v>0</v>
      </c>
      <c r="AD158" s="1106">
        <v>0</v>
      </c>
      <c r="AE158" s="1106">
        <v>0</v>
      </c>
      <c r="AF158" s="1106">
        <v>0</v>
      </c>
      <c r="AG158" s="1106">
        <v>100000000</v>
      </c>
      <c r="AH158" s="1106">
        <v>0</v>
      </c>
      <c r="AI158" s="1106"/>
      <c r="AJ158" s="1106"/>
      <c r="AK158" s="1106"/>
      <c r="AL158" s="1112" t="e">
        <f t="shared" si="337"/>
        <v>#DIV/0!</v>
      </c>
      <c r="AM158" s="1112" t="e">
        <f t="shared" si="337"/>
        <v>#DIV/0!</v>
      </c>
      <c r="AN158" s="1112" t="e">
        <f t="shared" si="337"/>
        <v>#DIV/0!</v>
      </c>
      <c r="AO158" s="1112">
        <f t="shared" si="337"/>
        <v>0</v>
      </c>
      <c r="AP158" s="1107">
        <v>0</v>
      </c>
      <c r="AQ158" s="1187"/>
      <c r="AR158" s="1567"/>
      <c r="AS158" s="1188"/>
      <c r="AT158" s="1140" t="e">
        <f t="shared" si="338"/>
        <v>#DIV/0!</v>
      </c>
      <c r="AU158" s="1140" t="e">
        <f t="shared" si="338"/>
        <v>#DIV/0!</v>
      </c>
      <c r="AV158" s="1140" t="e">
        <f t="shared" si="338"/>
        <v>#DIV/0!</v>
      </c>
      <c r="AW158" s="1140">
        <f t="shared" si="330"/>
        <v>0</v>
      </c>
      <c r="AX158" s="1044">
        <f t="shared" si="364"/>
        <v>0</v>
      </c>
      <c r="AY158" s="1044">
        <f t="shared" si="364"/>
        <v>0</v>
      </c>
      <c r="AZ158" s="1044">
        <f t="shared" si="364"/>
        <v>0</v>
      </c>
      <c r="BA158" s="1044">
        <f t="shared" si="364"/>
        <v>0</v>
      </c>
      <c r="BB158" s="1107"/>
      <c r="BC158" s="1107"/>
      <c r="BD158" s="1107"/>
      <c r="BE158" s="1107"/>
      <c r="BF158" s="1190" t="e">
        <f t="shared" si="340"/>
        <v>#DIV/0!</v>
      </c>
      <c r="BG158" s="1190" t="e">
        <f t="shared" si="340"/>
        <v>#DIV/0!</v>
      </c>
      <c r="BH158" s="1190" t="e">
        <f t="shared" si="340"/>
        <v>#DIV/0!</v>
      </c>
      <c r="BI158" s="1190" t="e">
        <f t="shared" si="332"/>
        <v>#DIV/0!</v>
      </c>
      <c r="BJ158" s="1107">
        <f t="shared" si="367"/>
        <v>100000000</v>
      </c>
      <c r="BK158" s="1110">
        <f t="shared" si="368"/>
        <v>0</v>
      </c>
      <c r="BL158" s="1111">
        <f t="shared" si="365"/>
        <v>0</v>
      </c>
      <c r="BM158" s="1110">
        <f t="shared" si="366"/>
        <v>0</v>
      </c>
      <c r="BN158" s="1112">
        <f t="shared" si="347"/>
        <v>0</v>
      </c>
      <c r="BO158" s="1113"/>
      <c r="BP158" s="1435" t="s">
        <v>2533</v>
      </c>
      <c r="BQ158" s="1436" t="s">
        <v>2193</v>
      </c>
      <c r="BR158" s="1437" t="s">
        <v>2542</v>
      </c>
    </row>
    <row r="159" spans="1:70" ht="12.75" customHeight="1" thickBot="1">
      <c r="A159" s="1973" t="s">
        <v>2549</v>
      </c>
      <c r="B159" s="1973"/>
      <c r="C159" s="1974"/>
      <c r="D159" s="1974"/>
      <c r="E159" s="1975"/>
      <c r="F159" s="1975"/>
      <c r="G159" s="1975"/>
      <c r="H159" s="1975"/>
      <c r="I159" s="1975"/>
      <c r="J159" s="1975"/>
      <c r="K159" s="1975"/>
      <c r="L159" s="1975"/>
      <c r="M159" s="1975"/>
      <c r="N159" s="1975"/>
      <c r="O159" s="1975"/>
      <c r="P159" s="1976">
        <f>+SUMPRODUCT(P160:P161,Z160:Z161)</f>
        <v>1</v>
      </c>
      <c r="Q159" s="1977">
        <f>+SUMPRODUCT(Q160:Q161,AA160:AA161)</f>
        <v>1</v>
      </c>
      <c r="R159" s="1978">
        <f>+SUMPRODUCT(R160:R161,AB160:AB161)</f>
        <v>0</v>
      </c>
      <c r="S159" s="1978">
        <f>+SUMPRODUCT(S160:S161,AC160:AC161)</f>
        <v>0</v>
      </c>
      <c r="T159" s="1979"/>
      <c r="U159" s="1973"/>
      <c r="V159" s="1980"/>
      <c r="W159" s="1981"/>
      <c r="X159" s="1976">
        <f>+SUMPRODUCT(X160:X161,Y160:Y161)</f>
        <v>0.5</v>
      </c>
      <c r="Y159" s="1977">
        <v>0.35</v>
      </c>
      <c r="Z159" s="1977">
        <v>0.35</v>
      </c>
      <c r="AA159" s="1977">
        <v>0.35</v>
      </c>
      <c r="AB159" s="1977">
        <v>0.35</v>
      </c>
      <c r="AC159" s="1977">
        <v>0.35</v>
      </c>
      <c r="AD159" s="1974">
        <f>SUM(AD160:AD161)</f>
        <v>231250000</v>
      </c>
      <c r="AE159" s="1974">
        <f>SUM(AE160:AE161)</f>
        <v>328500000</v>
      </c>
      <c r="AF159" s="1974">
        <f t="shared" ref="AF159:AK159" si="369">SUM(AF160:AF161)</f>
        <v>477500000</v>
      </c>
      <c r="AG159" s="1974">
        <f t="shared" si="369"/>
        <v>600000000</v>
      </c>
      <c r="AH159" s="1974">
        <f t="shared" si="369"/>
        <v>230870000</v>
      </c>
      <c r="AI159" s="1974">
        <f t="shared" si="369"/>
        <v>327381370</v>
      </c>
      <c r="AJ159" s="1974">
        <f t="shared" si="369"/>
        <v>0</v>
      </c>
      <c r="AK159" s="1974">
        <f t="shared" si="369"/>
        <v>0</v>
      </c>
      <c r="AL159" s="1982">
        <f t="shared" si="337"/>
        <v>0.99835675675675672</v>
      </c>
      <c r="AM159" s="1982">
        <f t="shared" si="337"/>
        <v>0.99659473363774731</v>
      </c>
      <c r="AN159" s="1982">
        <f t="shared" si="337"/>
        <v>0</v>
      </c>
      <c r="AO159" s="1982">
        <f t="shared" si="337"/>
        <v>0</v>
      </c>
      <c r="AP159" s="1974">
        <f t="shared" ref="AP159:AS159" si="370">SUM(AP160:AP161)</f>
        <v>186444400</v>
      </c>
      <c r="AQ159" s="1974">
        <f t="shared" si="370"/>
        <v>318486309.57999998</v>
      </c>
      <c r="AR159" s="1974">
        <f t="shared" si="370"/>
        <v>0</v>
      </c>
      <c r="AS159" s="1974">
        <f t="shared" si="370"/>
        <v>0</v>
      </c>
      <c r="AT159" s="1982">
        <f t="shared" si="338"/>
        <v>0.80624605405405403</v>
      </c>
      <c r="AU159" s="1982">
        <f t="shared" si="338"/>
        <v>0.96951692414003043</v>
      </c>
      <c r="AV159" s="1982">
        <f t="shared" si="338"/>
        <v>0</v>
      </c>
      <c r="AW159" s="1982">
        <f t="shared" si="330"/>
        <v>0</v>
      </c>
      <c r="AX159" s="1974">
        <f t="shared" ref="AX159:BE159" si="371">SUM(AX160:AX161)</f>
        <v>44425600</v>
      </c>
      <c r="AY159" s="1974">
        <f t="shared" si="371"/>
        <v>8895060.4200000167</v>
      </c>
      <c r="AZ159" s="1974">
        <f t="shared" si="371"/>
        <v>0</v>
      </c>
      <c r="BA159" s="1974">
        <f t="shared" si="371"/>
        <v>0</v>
      </c>
      <c r="BB159" s="1974">
        <f t="shared" si="371"/>
        <v>0</v>
      </c>
      <c r="BC159" s="1974">
        <f t="shared" si="371"/>
        <v>0</v>
      </c>
      <c r="BD159" s="1974">
        <f t="shared" si="371"/>
        <v>0</v>
      </c>
      <c r="BE159" s="1974">
        <f t="shared" si="371"/>
        <v>0</v>
      </c>
      <c r="BF159" s="1977">
        <f t="shared" si="340"/>
        <v>0</v>
      </c>
      <c r="BG159" s="1977">
        <f t="shared" si="340"/>
        <v>0</v>
      </c>
      <c r="BH159" s="1977" t="e">
        <f t="shared" si="340"/>
        <v>#DIV/0!</v>
      </c>
      <c r="BI159" s="1977" t="e">
        <f t="shared" si="332"/>
        <v>#DIV/0!</v>
      </c>
      <c r="BJ159" s="1974">
        <f t="shared" si="367"/>
        <v>1637250000</v>
      </c>
      <c r="BK159" s="1983">
        <f t="shared" si="368"/>
        <v>558251370</v>
      </c>
      <c r="BL159" s="1984">
        <f t="shared" si="365"/>
        <v>0.34096892349977098</v>
      </c>
      <c r="BM159" s="1983">
        <f t="shared" si="366"/>
        <v>504930709.57999998</v>
      </c>
      <c r="BN159" s="1985">
        <f t="shared" si="347"/>
        <v>0.308401716036036</v>
      </c>
      <c r="BO159" s="1974"/>
      <c r="BP159" s="1986"/>
      <c r="BQ159" s="1986"/>
      <c r="BR159" s="1986"/>
    </row>
    <row r="160" spans="1:70" ht="12.75" customHeight="1" thickBot="1">
      <c r="A160" s="1987" t="s">
        <v>2550</v>
      </c>
      <c r="B160" s="1988" t="s">
        <v>2551</v>
      </c>
      <c r="C160" s="1025" t="s">
        <v>2181</v>
      </c>
      <c r="D160" s="1989">
        <v>1</v>
      </c>
      <c r="E160" s="1990">
        <v>1</v>
      </c>
      <c r="F160" s="1990">
        <v>1</v>
      </c>
      <c r="G160" s="1991">
        <v>1</v>
      </c>
      <c r="H160" s="1627">
        <v>1</v>
      </c>
      <c r="I160" s="1030">
        <v>1</v>
      </c>
      <c r="J160" s="1030"/>
      <c r="K160" s="1030"/>
      <c r="L160" s="1030"/>
      <c r="M160" s="1031"/>
      <c r="N160" s="1031"/>
      <c r="O160" s="1031"/>
      <c r="P160" s="1032">
        <f t="shared" ref="P160:S161" si="372">IF((H160+L160)/D160&gt;=100%,100%,(H160+L160)/D160)</f>
        <v>1</v>
      </c>
      <c r="Q160" s="1032">
        <f t="shared" si="372"/>
        <v>1</v>
      </c>
      <c r="R160" s="1032">
        <f t="shared" si="372"/>
        <v>0</v>
      </c>
      <c r="S160" s="1032">
        <f t="shared" si="372"/>
        <v>0</v>
      </c>
      <c r="T160" s="1793" t="s">
        <v>2552</v>
      </c>
      <c r="U160" s="1034">
        <v>46022</v>
      </c>
      <c r="V160" s="1035">
        <f t="shared" ref="V160:V161" si="373">SUM(D160:G160)</f>
        <v>4</v>
      </c>
      <c r="W160" s="1035">
        <f t="shared" ref="W160:W161" si="374">SUM(H160:N160)</f>
        <v>2</v>
      </c>
      <c r="X160" s="1279">
        <f t="shared" ref="X160:X161" si="375">IF(W160/V160&gt;=100%,100%,W160/V160)</f>
        <v>0.5</v>
      </c>
      <c r="Y160" s="1037">
        <v>0.6</v>
      </c>
      <c r="Z160" s="1037">
        <v>0.6</v>
      </c>
      <c r="AA160" s="1037">
        <v>0.6</v>
      </c>
      <c r="AB160" s="1037">
        <v>0.6</v>
      </c>
      <c r="AC160" s="1037">
        <v>0.6</v>
      </c>
      <c r="AD160" s="1137">
        <v>99750000</v>
      </c>
      <c r="AE160" s="1137">
        <v>162000000</v>
      </c>
      <c r="AF160" s="1137">
        <v>285000000</v>
      </c>
      <c r="AG160" s="1137">
        <v>400000000</v>
      </c>
      <c r="AH160" s="1049">
        <v>99750000</v>
      </c>
      <c r="AI160" s="1049">
        <v>161747240</v>
      </c>
      <c r="AJ160" s="1049"/>
      <c r="AK160" s="1049"/>
      <c r="AL160" s="1039">
        <f t="shared" si="337"/>
        <v>1</v>
      </c>
      <c r="AM160" s="1039">
        <f t="shared" si="337"/>
        <v>0.99843975308641975</v>
      </c>
      <c r="AN160" s="1039">
        <f t="shared" si="337"/>
        <v>0</v>
      </c>
      <c r="AO160" s="1039">
        <f t="shared" si="337"/>
        <v>0</v>
      </c>
      <c r="AP160" s="1138">
        <v>99750000</v>
      </c>
      <c r="AQ160" s="1041">
        <v>156177262.94999999</v>
      </c>
      <c r="AR160" s="1552"/>
      <c r="AS160" s="1042"/>
      <c r="AT160" s="1043">
        <f t="shared" si="338"/>
        <v>1</v>
      </c>
      <c r="AU160" s="1043">
        <f t="shared" si="338"/>
        <v>0.96405717870370367</v>
      </c>
      <c r="AV160" s="1043">
        <f t="shared" si="338"/>
        <v>0</v>
      </c>
      <c r="AW160" s="1043">
        <f t="shared" si="330"/>
        <v>0</v>
      </c>
      <c r="AX160" s="1044">
        <f t="shared" ref="AX160:BA161" si="376">+AH160-AP160</f>
        <v>0</v>
      </c>
      <c r="AY160" s="1044">
        <f t="shared" si="376"/>
        <v>5569977.0500000119</v>
      </c>
      <c r="AZ160" s="1044">
        <f t="shared" si="376"/>
        <v>0</v>
      </c>
      <c r="BA160" s="1044">
        <f t="shared" si="376"/>
        <v>0</v>
      </c>
      <c r="BB160" s="1049"/>
      <c r="BC160" s="1049"/>
      <c r="BD160" s="1049"/>
      <c r="BE160" s="1049"/>
      <c r="BF160" s="1045" t="e">
        <f t="shared" si="340"/>
        <v>#DIV/0!</v>
      </c>
      <c r="BG160" s="1045">
        <f t="shared" si="340"/>
        <v>0</v>
      </c>
      <c r="BH160" s="1045" t="e">
        <f t="shared" si="340"/>
        <v>#DIV/0!</v>
      </c>
      <c r="BI160" s="1045" t="e">
        <f t="shared" si="332"/>
        <v>#DIV/0!</v>
      </c>
      <c r="BJ160" s="1049">
        <f t="shared" si="367"/>
        <v>946750000</v>
      </c>
      <c r="BK160" s="1141">
        <f t="shared" si="368"/>
        <v>261497240</v>
      </c>
      <c r="BL160" s="1142">
        <f t="shared" si="365"/>
        <v>0.2762051650382889</v>
      </c>
      <c r="BM160" s="1141">
        <f t="shared" si="366"/>
        <v>255927262.94999999</v>
      </c>
      <c r="BN160" s="1143">
        <f t="shared" si="347"/>
        <v>0.27032190435701081</v>
      </c>
      <c r="BO160" s="1049"/>
      <c r="BP160" s="1512" t="s">
        <v>2533</v>
      </c>
      <c r="BQ160" s="1531" t="s">
        <v>2534</v>
      </c>
      <c r="BR160" s="1469" t="s">
        <v>2535</v>
      </c>
    </row>
    <row r="161" spans="1:70" ht="12.75" customHeight="1" thickBot="1">
      <c r="A161" s="1967" t="s">
        <v>2553</v>
      </c>
      <c r="B161" s="1992" t="s">
        <v>2554</v>
      </c>
      <c r="C161" s="1152" t="s">
        <v>2181</v>
      </c>
      <c r="D161" s="1993">
        <v>1</v>
      </c>
      <c r="E161" s="1970">
        <v>1</v>
      </c>
      <c r="F161" s="1970">
        <v>1</v>
      </c>
      <c r="G161" s="1971">
        <v>1</v>
      </c>
      <c r="H161" s="1634">
        <v>1</v>
      </c>
      <c r="I161" s="1182">
        <v>1</v>
      </c>
      <c r="J161" s="1182"/>
      <c r="K161" s="1182"/>
      <c r="L161" s="1182"/>
      <c r="M161" s="1101"/>
      <c r="N161" s="1101"/>
      <c r="O161" s="1101"/>
      <c r="P161" s="1102">
        <f t="shared" si="372"/>
        <v>1</v>
      </c>
      <c r="Q161" s="1102">
        <f t="shared" si="372"/>
        <v>1</v>
      </c>
      <c r="R161" s="1102">
        <f t="shared" si="372"/>
        <v>0</v>
      </c>
      <c r="S161" s="1102">
        <f t="shared" si="372"/>
        <v>0</v>
      </c>
      <c r="T161" s="1686" t="s">
        <v>2555</v>
      </c>
      <c r="U161" s="1034">
        <v>46022</v>
      </c>
      <c r="V161" s="1035">
        <f t="shared" si="373"/>
        <v>4</v>
      </c>
      <c r="W161" s="1035">
        <f t="shared" si="374"/>
        <v>2</v>
      </c>
      <c r="X161" s="1279">
        <f t="shared" si="375"/>
        <v>0.5</v>
      </c>
      <c r="Y161" s="1104">
        <v>0.4</v>
      </c>
      <c r="Z161" s="1104">
        <v>0.4</v>
      </c>
      <c r="AA161" s="1104">
        <v>0.4</v>
      </c>
      <c r="AB161" s="1104">
        <v>0.4</v>
      </c>
      <c r="AC161" s="1104">
        <v>0.4</v>
      </c>
      <c r="AD161" s="1106">
        <v>131500000</v>
      </c>
      <c r="AE161" s="1106">
        <v>166500000</v>
      </c>
      <c r="AF161" s="1106">
        <v>192500000</v>
      </c>
      <c r="AG161" s="1106">
        <v>200000000</v>
      </c>
      <c r="AH161" s="1113">
        <v>131120000</v>
      </c>
      <c r="AI161" s="1113">
        <v>165634130</v>
      </c>
      <c r="AJ161" s="1113"/>
      <c r="AK161" s="1113"/>
      <c r="AL161" s="1295">
        <f t="shared" si="337"/>
        <v>0.99711026615969578</v>
      </c>
      <c r="AM161" s="1295">
        <f t="shared" si="337"/>
        <v>0.99479957957957954</v>
      </c>
      <c r="AN161" s="1295">
        <f t="shared" si="337"/>
        <v>0</v>
      </c>
      <c r="AO161" s="1295">
        <f t="shared" si="337"/>
        <v>0</v>
      </c>
      <c r="AP161" s="1109">
        <v>86694400</v>
      </c>
      <c r="AQ161" s="1187">
        <v>162309046.63</v>
      </c>
      <c r="AR161" s="1567"/>
      <c r="AS161" s="1188"/>
      <c r="AT161" s="1189">
        <f t="shared" si="338"/>
        <v>0.65927300380228138</v>
      </c>
      <c r="AU161" s="1189">
        <f t="shared" si="338"/>
        <v>0.97482910888888885</v>
      </c>
      <c r="AV161" s="1189">
        <f t="shared" si="338"/>
        <v>0</v>
      </c>
      <c r="AW161" s="1189">
        <f t="shared" si="330"/>
        <v>0</v>
      </c>
      <c r="AX161" s="1044">
        <f t="shared" si="376"/>
        <v>44425600</v>
      </c>
      <c r="AY161" s="1044">
        <f t="shared" si="376"/>
        <v>3325083.3700000048</v>
      </c>
      <c r="AZ161" s="1044">
        <f t="shared" si="376"/>
        <v>0</v>
      </c>
      <c r="BA161" s="1044">
        <f t="shared" si="376"/>
        <v>0</v>
      </c>
      <c r="BB161" s="1113"/>
      <c r="BC161" s="1113"/>
      <c r="BD161" s="1113"/>
      <c r="BE161" s="1113"/>
      <c r="BF161" s="1190">
        <f t="shared" si="340"/>
        <v>0</v>
      </c>
      <c r="BG161" s="1190">
        <f t="shared" si="340"/>
        <v>0</v>
      </c>
      <c r="BH161" s="1190" t="e">
        <f t="shared" si="340"/>
        <v>#DIV/0!</v>
      </c>
      <c r="BI161" s="1190" t="e">
        <f t="shared" si="332"/>
        <v>#DIV/0!</v>
      </c>
      <c r="BJ161" s="1113">
        <f t="shared" si="367"/>
        <v>690500000</v>
      </c>
      <c r="BK161" s="1484">
        <f t="shared" si="368"/>
        <v>296754130</v>
      </c>
      <c r="BL161" s="1485">
        <f t="shared" si="365"/>
        <v>0.42976702389572774</v>
      </c>
      <c r="BM161" s="1484">
        <f t="shared" si="366"/>
        <v>249003446.63</v>
      </c>
      <c r="BN161" s="1486">
        <f t="shared" si="347"/>
        <v>0.3606132463866763</v>
      </c>
      <c r="BO161" s="1113"/>
      <c r="BP161" s="1994" t="s">
        <v>2533</v>
      </c>
      <c r="BQ161" s="1436" t="s">
        <v>2193</v>
      </c>
      <c r="BR161" s="1437" t="s">
        <v>2535</v>
      </c>
    </row>
    <row r="162" spans="1:70" ht="12.75" customHeight="1">
      <c r="A162" s="1995" t="s">
        <v>2556</v>
      </c>
      <c r="B162" s="1995"/>
      <c r="C162" s="1996"/>
      <c r="D162" s="1996"/>
      <c r="E162" s="1997"/>
      <c r="F162" s="1997"/>
      <c r="G162" s="1997"/>
      <c r="H162" s="1997"/>
      <c r="I162" s="1997"/>
      <c r="J162" s="1997"/>
      <c r="K162" s="1997"/>
      <c r="L162" s="1997"/>
      <c r="M162" s="1997"/>
      <c r="N162" s="1997"/>
      <c r="O162" s="1997"/>
      <c r="P162" s="1998">
        <f>+(P163*Z163)</f>
        <v>1</v>
      </c>
      <c r="Q162" s="1998">
        <f>+(Q163*AA163)</f>
        <v>1</v>
      </c>
      <c r="R162" s="1999" t="e">
        <f>+(R163*AB163)</f>
        <v>#DIV/0!</v>
      </c>
      <c r="S162" s="1999" t="e">
        <f>+(S163*AC163)</f>
        <v>#DIV/0!</v>
      </c>
      <c r="T162" s="2000"/>
      <c r="U162" s="1995"/>
      <c r="V162" s="2001"/>
      <c r="W162" s="2002"/>
      <c r="X162" s="1998">
        <f>+(X163*Y163)</f>
        <v>0.48333333333333328</v>
      </c>
      <c r="Y162" s="2003">
        <v>0.2</v>
      </c>
      <c r="Z162" s="2003">
        <v>0.2</v>
      </c>
      <c r="AA162" s="2003">
        <v>0.2</v>
      </c>
      <c r="AB162" s="2003">
        <v>0.2</v>
      </c>
      <c r="AC162" s="2003">
        <v>0.2</v>
      </c>
      <c r="AD162" s="1996">
        <f>+AD163</f>
        <v>226450000</v>
      </c>
      <c r="AE162" s="1996">
        <f>+AE163</f>
        <v>2732600000</v>
      </c>
      <c r="AF162" s="1996">
        <f t="shared" ref="AF162:AK162" si="377">+AF163</f>
        <v>1444500000</v>
      </c>
      <c r="AG162" s="1996">
        <f t="shared" si="377"/>
        <v>2710000000</v>
      </c>
      <c r="AH162" s="1996">
        <f t="shared" si="377"/>
        <v>226450000</v>
      </c>
      <c r="AI162" s="1996">
        <f t="shared" si="377"/>
        <v>1935851074.5</v>
      </c>
      <c r="AJ162" s="1996">
        <f t="shared" si="377"/>
        <v>0</v>
      </c>
      <c r="AK162" s="1996">
        <f t="shared" si="377"/>
        <v>0</v>
      </c>
      <c r="AL162" s="2004">
        <f t="shared" si="337"/>
        <v>1</v>
      </c>
      <c r="AM162" s="2004">
        <f t="shared" si="337"/>
        <v>0.70842826410744342</v>
      </c>
      <c r="AN162" s="2004">
        <f t="shared" si="337"/>
        <v>0</v>
      </c>
      <c r="AO162" s="2004">
        <f t="shared" si="337"/>
        <v>0</v>
      </c>
      <c r="AP162" s="1996">
        <f t="shared" ref="AP162:AS162" si="378">+AP163</f>
        <v>226450000</v>
      </c>
      <c r="AQ162" s="1996">
        <f t="shared" si="378"/>
        <v>1066166582.4399999</v>
      </c>
      <c r="AR162" s="1996">
        <f t="shared" si="378"/>
        <v>0</v>
      </c>
      <c r="AS162" s="1996">
        <f t="shared" si="378"/>
        <v>0</v>
      </c>
      <c r="AT162" s="2004">
        <f t="shared" si="338"/>
        <v>1</v>
      </c>
      <c r="AU162" s="2004">
        <f t="shared" si="338"/>
        <v>0.39016562337700356</v>
      </c>
      <c r="AV162" s="2004">
        <f t="shared" si="338"/>
        <v>0</v>
      </c>
      <c r="AW162" s="2004">
        <f t="shared" si="330"/>
        <v>0</v>
      </c>
      <c r="AX162" s="1996">
        <f t="shared" ref="AX162:BE162" si="379">+AX163</f>
        <v>0</v>
      </c>
      <c r="AY162" s="1996">
        <f t="shared" si="379"/>
        <v>869684492.06000006</v>
      </c>
      <c r="AZ162" s="1996">
        <f t="shared" si="379"/>
        <v>0</v>
      </c>
      <c r="BA162" s="1996">
        <f t="shared" si="379"/>
        <v>0</v>
      </c>
      <c r="BB162" s="1996">
        <f t="shared" si="379"/>
        <v>0</v>
      </c>
      <c r="BC162" s="1996">
        <f t="shared" si="379"/>
        <v>0</v>
      </c>
      <c r="BD162" s="1996">
        <f t="shared" si="379"/>
        <v>0</v>
      </c>
      <c r="BE162" s="1996">
        <f t="shared" si="379"/>
        <v>0</v>
      </c>
      <c r="BF162" s="2003" t="e">
        <f t="shared" si="340"/>
        <v>#DIV/0!</v>
      </c>
      <c r="BG162" s="2003">
        <f t="shared" si="340"/>
        <v>0</v>
      </c>
      <c r="BH162" s="2003" t="e">
        <f t="shared" si="340"/>
        <v>#DIV/0!</v>
      </c>
      <c r="BI162" s="2003" t="e">
        <f t="shared" si="332"/>
        <v>#DIV/0!</v>
      </c>
      <c r="BJ162" s="1996">
        <f t="shared" si="367"/>
        <v>7113550000</v>
      </c>
      <c r="BK162" s="2005">
        <f t="shared" si="368"/>
        <v>2162301074.5</v>
      </c>
      <c r="BL162" s="2006">
        <f t="shared" si="365"/>
        <v>0.30396933661814424</v>
      </c>
      <c r="BM162" s="2005">
        <f t="shared" si="366"/>
        <v>1292616582.4400001</v>
      </c>
      <c r="BN162" s="2007">
        <f t="shared" si="347"/>
        <v>0.18171188540742669</v>
      </c>
      <c r="BO162" s="1996"/>
      <c r="BP162" s="2008"/>
      <c r="BQ162" s="2008"/>
      <c r="BR162" s="2008"/>
    </row>
    <row r="163" spans="1:70" ht="12.75" customHeight="1" thickBot="1">
      <c r="A163" s="1941" t="s">
        <v>2557</v>
      </c>
      <c r="B163" s="1941"/>
      <c r="C163" s="1942"/>
      <c r="D163" s="1942"/>
      <c r="E163" s="1943"/>
      <c r="F163" s="1943"/>
      <c r="G163" s="1943"/>
      <c r="H163" s="1943"/>
      <c r="I163" s="1943"/>
      <c r="J163" s="1943"/>
      <c r="K163" s="1943"/>
      <c r="L163" s="1943"/>
      <c r="M163" s="1943"/>
      <c r="N163" s="1943"/>
      <c r="O163" s="1943"/>
      <c r="P163" s="1944">
        <f>+SUMPRODUCT(P164:P171,Z164:Z171)</f>
        <v>1</v>
      </c>
      <c r="Q163" s="1945">
        <f>+SUMPRODUCT(Q164:Q171,AA164:AA171)</f>
        <v>1</v>
      </c>
      <c r="R163" s="1946" t="e">
        <f>+SUMPRODUCT(R164:R171,AB164:AB171)</f>
        <v>#DIV/0!</v>
      </c>
      <c r="S163" s="1946" t="e">
        <f>+SUMPRODUCT(S164:S171,AC164:AC171)</f>
        <v>#DIV/0!</v>
      </c>
      <c r="T163" s="2009"/>
      <c r="U163" s="1941"/>
      <c r="V163" s="1948"/>
      <c r="W163" s="1949"/>
      <c r="X163" s="1944">
        <f>+SUMPRODUCT(X164:X171,Y164:Y171)</f>
        <v>0.48333333333333328</v>
      </c>
      <c r="Y163" s="1945">
        <v>1</v>
      </c>
      <c r="Z163" s="1945">
        <v>1</v>
      </c>
      <c r="AA163" s="1945">
        <v>1</v>
      </c>
      <c r="AB163" s="1945">
        <v>1</v>
      </c>
      <c r="AC163" s="1945">
        <v>1</v>
      </c>
      <c r="AD163" s="1942">
        <f>SUM(AD164:AD171)</f>
        <v>226450000</v>
      </c>
      <c r="AE163" s="1942">
        <f>SUM(AE164:AE171)</f>
        <v>2732600000</v>
      </c>
      <c r="AF163" s="1942">
        <f t="shared" ref="AF163:AK163" si="380">SUM(AF164:AF171)</f>
        <v>1444500000</v>
      </c>
      <c r="AG163" s="1942">
        <f t="shared" si="380"/>
        <v>2710000000</v>
      </c>
      <c r="AH163" s="1942">
        <f t="shared" si="380"/>
        <v>226450000</v>
      </c>
      <c r="AI163" s="1942">
        <f t="shared" si="380"/>
        <v>1935851074.5</v>
      </c>
      <c r="AJ163" s="1942">
        <f t="shared" si="380"/>
        <v>0</v>
      </c>
      <c r="AK163" s="1942">
        <f t="shared" si="380"/>
        <v>0</v>
      </c>
      <c r="AL163" s="1950">
        <f t="shared" si="337"/>
        <v>1</v>
      </c>
      <c r="AM163" s="1950">
        <f t="shared" si="337"/>
        <v>0.70842826410744342</v>
      </c>
      <c r="AN163" s="1950">
        <f t="shared" si="337"/>
        <v>0</v>
      </c>
      <c r="AO163" s="1950">
        <f t="shared" si="337"/>
        <v>0</v>
      </c>
      <c r="AP163" s="1942">
        <f t="shared" ref="AP163:AS163" si="381">SUM(AP164:AP171)</f>
        <v>226450000</v>
      </c>
      <c r="AQ163" s="1942">
        <f t="shared" si="381"/>
        <v>1066166582.4399999</v>
      </c>
      <c r="AR163" s="1942">
        <f t="shared" si="381"/>
        <v>0</v>
      </c>
      <c r="AS163" s="1942">
        <f t="shared" si="381"/>
        <v>0</v>
      </c>
      <c r="AT163" s="1950">
        <f t="shared" si="338"/>
        <v>1</v>
      </c>
      <c r="AU163" s="1950">
        <f t="shared" si="338"/>
        <v>0.39016562337700356</v>
      </c>
      <c r="AV163" s="1950">
        <f t="shared" si="338"/>
        <v>0</v>
      </c>
      <c r="AW163" s="1950">
        <f t="shared" si="330"/>
        <v>0</v>
      </c>
      <c r="AX163" s="1942">
        <f t="shared" ref="AX163:BE163" si="382">SUM(AX164:AX171)</f>
        <v>0</v>
      </c>
      <c r="AY163" s="1942">
        <f t="shared" si="382"/>
        <v>869684492.06000006</v>
      </c>
      <c r="AZ163" s="1942">
        <f t="shared" si="382"/>
        <v>0</v>
      </c>
      <c r="BA163" s="1942">
        <f t="shared" si="382"/>
        <v>0</v>
      </c>
      <c r="BB163" s="1942">
        <f t="shared" si="382"/>
        <v>0</v>
      </c>
      <c r="BC163" s="1942">
        <f t="shared" si="382"/>
        <v>0</v>
      </c>
      <c r="BD163" s="1942">
        <f t="shared" si="382"/>
        <v>0</v>
      </c>
      <c r="BE163" s="1942">
        <f t="shared" si="382"/>
        <v>0</v>
      </c>
      <c r="BF163" s="1945" t="e">
        <f t="shared" si="340"/>
        <v>#DIV/0!</v>
      </c>
      <c r="BG163" s="1945">
        <f t="shared" si="340"/>
        <v>0</v>
      </c>
      <c r="BH163" s="1945" t="e">
        <f t="shared" si="340"/>
        <v>#DIV/0!</v>
      </c>
      <c r="BI163" s="1945" t="e">
        <f t="shared" si="332"/>
        <v>#DIV/0!</v>
      </c>
      <c r="BJ163" s="1942">
        <f t="shared" si="367"/>
        <v>7113550000</v>
      </c>
      <c r="BK163" s="1951">
        <f t="shared" si="368"/>
        <v>2162301074.5</v>
      </c>
      <c r="BL163" s="1952">
        <f t="shared" si="365"/>
        <v>0.30396933661814424</v>
      </c>
      <c r="BM163" s="1951">
        <f t="shared" si="366"/>
        <v>1292616582.4400001</v>
      </c>
      <c r="BN163" s="1953">
        <f t="shared" si="347"/>
        <v>0.18171188540742669</v>
      </c>
      <c r="BO163" s="1942"/>
      <c r="BP163" s="1954"/>
      <c r="BQ163" s="1954"/>
      <c r="BR163" s="1954"/>
    </row>
    <row r="164" spans="1:70" ht="12.75" customHeight="1" thickBot="1">
      <c r="A164" s="1788" t="s">
        <v>2558</v>
      </c>
      <c r="B164" s="1988" t="s">
        <v>2559</v>
      </c>
      <c r="C164" s="1025" t="s">
        <v>2181</v>
      </c>
      <c r="D164" s="2010">
        <v>0</v>
      </c>
      <c r="E164" s="1990">
        <v>1</v>
      </c>
      <c r="F164" s="1990">
        <v>0</v>
      </c>
      <c r="G164" s="1991">
        <v>0</v>
      </c>
      <c r="H164" s="1627"/>
      <c r="I164" s="1030">
        <v>1</v>
      </c>
      <c r="J164" s="1030"/>
      <c r="K164" s="1030"/>
      <c r="L164" s="1030"/>
      <c r="M164" s="1031"/>
      <c r="N164" s="1031"/>
      <c r="O164" s="1031"/>
      <c r="P164" s="1032"/>
      <c r="Q164" s="1032">
        <f t="shared" ref="Q164:S171" si="383">IF((I164+M164)/E164&gt;=100%,100%,(I164+M164)/E164)</f>
        <v>1</v>
      </c>
      <c r="R164" s="1032" t="e">
        <f t="shared" si="383"/>
        <v>#DIV/0!</v>
      </c>
      <c r="S164" s="1032" t="e">
        <f t="shared" si="383"/>
        <v>#DIV/0!</v>
      </c>
      <c r="T164" s="1136" t="s">
        <v>2560</v>
      </c>
      <c r="U164" s="1034">
        <v>46022</v>
      </c>
      <c r="V164" s="1035">
        <f t="shared" ref="V164:V171" si="384">SUM(D164:G164)</f>
        <v>1</v>
      </c>
      <c r="W164" s="1035">
        <f t="shared" ref="W164:W171" si="385">SUM(H164:N164)</f>
        <v>1</v>
      </c>
      <c r="X164" s="1279">
        <f t="shared" ref="X164:X171" si="386">IF(W164/V164&gt;=100%,100%,W164/V164)</f>
        <v>1</v>
      </c>
      <c r="Y164" s="1037">
        <v>0.05</v>
      </c>
      <c r="Z164" s="1037">
        <v>0</v>
      </c>
      <c r="AA164" s="1037">
        <v>0.15</v>
      </c>
      <c r="AB164" s="1037">
        <v>0.15</v>
      </c>
      <c r="AC164" s="1037">
        <v>0.15</v>
      </c>
      <c r="AD164" s="1137">
        <v>0</v>
      </c>
      <c r="AE164" s="1137">
        <f>684000000/2</f>
        <v>342000000</v>
      </c>
      <c r="AF164" s="1137">
        <v>0</v>
      </c>
      <c r="AG164" s="1137">
        <v>0</v>
      </c>
      <c r="AH164" s="1049"/>
      <c r="AI164" s="1049">
        <f>684000000/2</f>
        <v>342000000</v>
      </c>
      <c r="AJ164" s="1049"/>
      <c r="AK164" s="1049"/>
      <c r="AL164" s="1112" t="e">
        <f t="shared" si="337"/>
        <v>#DIV/0!</v>
      </c>
      <c r="AM164" s="1112">
        <f t="shared" si="337"/>
        <v>1</v>
      </c>
      <c r="AN164" s="1112" t="e">
        <f t="shared" si="337"/>
        <v>#DIV/0!</v>
      </c>
      <c r="AO164" s="1112" t="e">
        <f t="shared" si="337"/>
        <v>#DIV/0!</v>
      </c>
      <c r="AP164" s="1138"/>
      <c r="AQ164" s="1041">
        <f>636405160.13/2</f>
        <v>318202580.065</v>
      </c>
      <c r="AR164" s="1552"/>
      <c r="AS164" s="1042"/>
      <c r="AT164" s="1140" t="e">
        <f t="shared" si="338"/>
        <v>#DIV/0!</v>
      </c>
      <c r="AU164" s="1140">
        <f t="shared" si="338"/>
        <v>0.93041690077485384</v>
      </c>
      <c r="AV164" s="1140" t="e">
        <f t="shared" si="338"/>
        <v>#DIV/0!</v>
      </c>
      <c r="AW164" s="1140" t="e">
        <f t="shared" si="330"/>
        <v>#DIV/0!</v>
      </c>
      <c r="AX164" s="1044">
        <f t="shared" ref="AX164:BA171" si="387">+AH164-AP164</f>
        <v>0</v>
      </c>
      <c r="AY164" s="1044">
        <f t="shared" si="387"/>
        <v>23797419.935000002</v>
      </c>
      <c r="AZ164" s="1044">
        <f t="shared" si="387"/>
        <v>0</v>
      </c>
      <c r="BA164" s="1044">
        <f t="shared" si="387"/>
        <v>0</v>
      </c>
      <c r="BB164" s="1049"/>
      <c r="BC164" s="1049"/>
      <c r="BD164" s="1049"/>
      <c r="BE164" s="1049"/>
      <c r="BF164" s="1045" t="e">
        <f t="shared" si="340"/>
        <v>#DIV/0!</v>
      </c>
      <c r="BG164" s="1045">
        <f t="shared" si="340"/>
        <v>0</v>
      </c>
      <c r="BH164" s="1045" t="e">
        <f t="shared" si="340"/>
        <v>#DIV/0!</v>
      </c>
      <c r="BI164" s="1045" t="e">
        <f t="shared" si="332"/>
        <v>#DIV/0!</v>
      </c>
      <c r="BJ164" s="1049">
        <f t="shared" si="367"/>
        <v>342000000</v>
      </c>
      <c r="BK164" s="1141">
        <f t="shared" si="368"/>
        <v>342000000</v>
      </c>
      <c r="BL164" s="1142">
        <f t="shared" si="365"/>
        <v>1</v>
      </c>
      <c r="BM164" s="1141">
        <f t="shared" si="366"/>
        <v>318202580.065</v>
      </c>
      <c r="BN164" s="1143">
        <f t="shared" si="347"/>
        <v>0.93041690077485384</v>
      </c>
      <c r="BO164" s="1049"/>
      <c r="BP164" s="1512" t="s">
        <v>2533</v>
      </c>
      <c r="BQ164" s="1531" t="s">
        <v>2193</v>
      </c>
      <c r="BR164" s="1469" t="s">
        <v>2535</v>
      </c>
    </row>
    <row r="165" spans="1:70" ht="12.75" customHeight="1" thickBot="1">
      <c r="A165" s="1959" t="s">
        <v>2561</v>
      </c>
      <c r="B165" s="1960" t="s">
        <v>2562</v>
      </c>
      <c r="C165" s="1055" t="s">
        <v>2181</v>
      </c>
      <c r="D165" s="2011">
        <v>0</v>
      </c>
      <c r="E165" s="2012">
        <v>1</v>
      </c>
      <c r="F165" s="2012">
        <v>0</v>
      </c>
      <c r="G165" s="2013">
        <v>0</v>
      </c>
      <c r="H165" s="1659"/>
      <c r="I165" s="1060">
        <v>1</v>
      </c>
      <c r="J165" s="1060"/>
      <c r="K165" s="1060"/>
      <c r="L165" s="1060"/>
      <c r="M165" s="1061"/>
      <c r="N165" s="1061"/>
      <c r="O165" s="1061"/>
      <c r="P165" s="1062"/>
      <c r="Q165" s="1062">
        <f t="shared" si="383"/>
        <v>1</v>
      </c>
      <c r="R165" s="1062" t="e">
        <f t="shared" si="383"/>
        <v>#DIV/0!</v>
      </c>
      <c r="S165" s="1062" t="e">
        <f t="shared" si="383"/>
        <v>#DIV/0!</v>
      </c>
      <c r="T165" s="1136" t="s">
        <v>2563</v>
      </c>
      <c r="U165" s="1034">
        <v>46022</v>
      </c>
      <c r="V165" s="1035">
        <f t="shared" si="384"/>
        <v>1</v>
      </c>
      <c r="W165" s="1035">
        <f t="shared" si="385"/>
        <v>1</v>
      </c>
      <c r="X165" s="1279">
        <f t="shared" si="386"/>
        <v>1</v>
      </c>
      <c r="Y165" s="1065">
        <v>0.05</v>
      </c>
      <c r="Z165" s="1065">
        <v>0</v>
      </c>
      <c r="AA165" s="1065">
        <v>0.1</v>
      </c>
      <c r="AB165" s="1065">
        <v>0.1</v>
      </c>
      <c r="AC165" s="1065">
        <v>0.1</v>
      </c>
      <c r="AD165" s="1066">
        <v>0</v>
      </c>
      <c r="AE165" s="1137">
        <f>684000000/2</f>
        <v>342000000</v>
      </c>
      <c r="AF165" s="1137">
        <v>0</v>
      </c>
      <c r="AG165" s="1137">
        <v>0</v>
      </c>
      <c r="AH165" s="1075"/>
      <c r="AI165" s="1049">
        <f>684000000/2</f>
        <v>342000000</v>
      </c>
      <c r="AJ165" s="1049"/>
      <c r="AK165" s="1049"/>
      <c r="AL165" s="1112" t="e">
        <f t="shared" si="337"/>
        <v>#DIV/0!</v>
      </c>
      <c r="AM165" s="1112">
        <f t="shared" si="337"/>
        <v>1</v>
      </c>
      <c r="AN165" s="1112" t="e">
        <f t="shared" si="337"/>
        <v>#DIV/0!</v>
      </c>
      <c r="AO165" s="1112" t="e">
        <f t="shared" si="337"/>
        <v>#DIV/0!</v>
      </c>
      <c r="AP165" s="1087"/>
      <c r="AQ165" s="1041">
        <f>636405160.13/2</f>
        <v>318202580.065</v>
      </c>
      <c r="AR165" s="1560"/>
      <c r="AS165" s="1069"/>
      <c r="AT165" s="1140" t="e">
        <f t="shared" si="338"/>
        <v>#DIV/0!</v>
      </c>
      <c r="AU165" s="1140">
        <f t="shared" si="338"/>
        <v>0.93041690077485384</v>
      </c>
      <c r="AV165" s="1140" t="e">
        <f t="shared" si="338"/>
        <v>#DIV/0!</v>
      </c>
      <c r="AW165" s="1140" t="e">
        <f t="shared" si="330"/>
        <v>#DIV/0!</v>
      </c>
      <c r="AX165" s="1044">
        <f t="shared" si="387"/>
        <v>0</v>
      </c>
      <c r="AY165" s="1044">
        <f t="shared" si="387"/>
        <v>23797419.935000002</v>
      </c>
      <c r="AZ165" s="1044">
        <f t="shared" si="387"/>
        <v>0</v>
      </c>
      <c r="BA165" s="1044">
        <f t="shared" si="387"/>
        <v>0</v>
      </c>
      <c r="BB165" s="1075"/>
      <c r="BC165" s="1075"/>
      <c r="BD165" s="1075"/>
      <c r="BE165" s="1075"/>
      <c r="BF165" s="1071" t="e">
        <f t="shared" si="340"/>
        <v>#DIV/0!</v>
      </c>
      <c r="BG165" s="1071">
        <f t="shared" si="340"/>
        <v>0</v>
      </c>
      <c r="BH165" s="1071" t="e">
        <f t="shared" si="340"/>
        <v>#DIV/0!</v>
      </c>
      <c r="BI165" s="1071" t="e">
        <f t="shared" si="332"/>
        <v>#DIV/0!</v>
      </c>
      <c r="BJ165" s="1075">
        <f t="shared" si="367"/>
        <v>342000000</v>
      </c>
      <c r="BK165" s="1091">
        <f t="shared" si="368"/>
        <v>342000000</v>
      </c>
      <c r="BL165" s="1092">
        <f t="shared" si="365"/>
        <v>1</v>
      </c>
      <c r="BM165" s="1091">
        <f t="shared" si="366"/>
        <v>318202580.065</v>
      </c>
      <c r="BN165" s="1093">
        <f t="shared" si="347"/>
        <v>0.93041690077485384</v>
      </c>
      <c r="BO165" s="1075"/>
      <c r="BP165" s="1512" t="s">
        <v>2533</v>
      </c>
      <c r="BQ165" s="1531" t="s">
        <v>2193</v>
      </c>
      <c r="BR165" s="1469" t="s">
        <v>2535</v>
      </c>
    </row>
    <row r="166" spans="1:70" ht="12.75" customHeight="1" thickBot="1">
      <c r="A166" s="1959" t="s">
        <v>2564</v>
      </c>
      <c r="B166" s="1960" t="s">
        <v>2565</v>
      </c>
      <c r="C166" s="1055" t="s">
        <v>2181</v>
      </c>
      <c r="D166" s="2014">
        <v>0</v>
      </c>
      <c r="E166" s="1089">
        <v>0</v>
      </c>
      <c r="F166" s="1089">
        <v>1</v>
      </c>
      <c r="G166" s="1090">
        <v>0</v>
      </c>
      <c r="H166" s="1659"/>
      <c r="I166" s="1060"/>
      <c r="J166" s="1060"/>
      <c r="K166" s="1060"/>
      <c r="L166" s="1060"/>
      <c r="M166" s="1061"/>
      <c r="N166" s="1061"/>
      <c r="O166" s="1061"/>
      <c r="P166" s="1062"/>
      <c r="Q166" s="1062"/>
      <c r="R166" s="1062">
        <f t="shared" si="383"/>
        <v>0</v>
      </c>
      <c r="S166" s="1062" t="e">
        <f t="shared" si="383"/>
        <v>#DIV/0!</v>
      </c>
      <c r="T166" s="1793"/>
      <c r="U166" s="1034">
        <v>46022</v>
      </c>
      <c r="V166" s="1035">
        <f t="shared" si="384"/>
        <v>1</v>
      </c>
      <c r="W166" s="1035">
        <f t="shared" si="385"/>
        <v>0</v>
      </c>
      <c r="X166" s="1279">
        <f t="shared" si="386"/>
        <v>0</v>
      </c>
      <c r="Y166" s="1065">
        <v>0.05</v>
      </c>
      <c r="Z166" s="1065">
        <v>0</v>
      </c>
      <c r="AA166" s="1065">
        <v>0</v>
      </c>
      <c r="AB166" s="1065">
        <v>0</v>
      </c>
      <c r="AC166" s="1065">
        <v>0</v>
      </c>
      <c r="AD166" s="1066">
        <v>0</v>
      </c>
      <c r="AE166" s="1066">
        <v>0</v>
      </c>
      <c r="AF166" s="1066">
        <v>427500000</v>
      </c>
      <c r="AG166" s="1066">
        <v>0</v>
      </c>
      <c r="AH166" s="1075"/>
      <c r="AI166" s="1075"/>
      <c r="AJ166" s="1075"/>
      <c r="AK166" s="1075"/>
      <c r="AL166" s="1112" t="e">
        <f t="shared" si="337"/>
        <v>#DIV/0!</v>
      </c>
      <c r="AM166" s="1112" t="e">
        <f t="shared" si="337"/>
        <v>#DIV/0!</v>
      </c>
      <c r="AN166" s="1112">
        <f t="shared" si="337"/>
        <v>0</v>
      </c>
      <c r="AO166" s="1112" t="e">
        <f t="shared" si="337"/>
        <v>#DIV/0!</v>
      </c>
      <c r="AP166" s="1087"/>
      <c r="AQ166" s="1068"/>
      <c r="AR166" s="1560"/>
      <c r="AS166" s="1069"/>
      <c r="AT166" s="1140" t="e">
        <f t="shared" si="338"/>
        <v>#DIV/0!</v>
      </c>
      <c r="AU166" s="1140" t="e">
        <f t="shared" si="338"/>
        <v>#DIV/0!</v>
      </c>
      <c r="AV166" s="1140">
        <f t="shared" si="338"/>
        <v>0</v>
      </c>
      <c r="AW166" s="1140" t="e">
        <f t="shared" si="330"/>
        <v>#DIV/0!</v>
      </c>
      <c r="AX166" s="1044">
        <f t="shared" si="387"/>
        <v>0</v>
      </c>
      <c r="AY166" s="1044">
        <f t="shared" si="387"/>
        <v>0</v>
      </c>
      <c r="AZ166" s="1044">
        <f t="shared" si="387"/>
        <v>0</v>
      </c>
      <c r="BA166" s="1044">
        <f t="shared" si="387"/>
        <v>0</v>
      </c>
      <c r="BB166" s="1075"/>
      <c r="BC166" s="1075"/>
      <c r="BD166" s="1075"/>
      <c r="BE166" s="1075"/>
      <c r="BF166" s="1071" t="e">
        <f t="shared" si="340"/>
        <v>#DIV/0!</v>
      </c>
      <c r="BG166" s="1071" t="e">
        <f t="shared" si="340"/>
        <v>#DIV/0!</v>
      </c>
      <c r="BH166" s="1071" t="e">
        <f t="shared" si="340"/>
        <v>#DIV/0!</v>
      </c>
      <c r="BI166" s="1071" t="e">
        <f t="shared" si="332"/>
        <v>#DIV/0!</v>
      </c>
      <c r="BJ166" s="1075">
        <f t="shared" si="367"/>
        <v>427500000</v>
      </c>
      <c r="BK166" s="1091">
        <f t="shared" si="368"/>
        <v>0</v>
      </c>
      <c r="BL166" s="1092">
        <f t="shared" si="365"/>
        <v>0</v>
      </c>
      <c r="BM166" s="1091">
        <f t="shared" si="366"/>
        <v>0</v>
      </c>
      <c r="BN166" s="1093">
        <f t="shared" si="347"/>
        <v>0</v>
      </c>
      <c r="BO166" s="1075"/>
      <c r="BP166" s="1512" t="s">
        <v>2533</v>
      </c>
      <c r="BQ166" s="1531" t="s">
        <v>2193</v>
      </c>
      <c r="BR166" s="1469" t="s">
        <v>2535</v>
      </c>
    </row>
    <row r="167" spans="1:70" ht="12.75" customHeight="1" thickBot="1">
      <c r="A167" s="1965" t="s">
        <v>2566</v>
      </c>
      <c r="B167" s="1412" t="s">
        <v>2567</v>
      </c>
      <c r="C167" s="1055" t="s">
        <v>2181</v>
      </c>
      <c r="D167" s="1961">
        <v>0</v>
      </c>
      <c r="E167" s="1962">
        <v>1</v>
      </c>
      <c r="F167" s="1962">
        <v>0</v>
      </c>
      <c r="G167" s="1964">
        <v>0</v>
      </c>
      <c r="H167" s="1659"/>
      <c r="I167" s="1060">
        <v>1</v>
      </c>
      <c r="J167" s="1060"/>
      <c r="K167" s="1060"/>
      <c r="L167" s="1060"/>
      <c r="M167" s="1061"/>
      <c r="N167" s="1061"/>
      <c r="O167" s="1061"/>
      <c r="P167" s="1062"/>
      <c r="Q167" s="1062">
        <f t="shared" si="383"/>
        <v>1</v>
      </c>
      <c r="R167" s="1062" t="e">
        <f t="shared" si="383"/>
        <v>#DIV/0!</v>
      </c>
      <c r="S167" s="1062" t="e">
        <f t="shared" si="383"/>
        <v>#DIV/0!</v>
      </c>
      <c r="T167" s="1136" t="s">
        <v>2568</v>
      </c>
      <c r="U167" s="1034">
        <v>46022</v>
      </c>
      <c r="V167" s="1035">
        <f t="shared" si="384"/>
        <v>1</v>
      </c>
      <c r="W167" s="1035">
        <f t="shared" si="385"/>
        <v>1</v>
      </c>
      <c r="X167" s="1279">
        <f t="shared" si="386"/>
        <v>1</v>
      </c>
      <c r="Y167" s="1065">
        <v>0.15</v>
      </c>
      <c r="Z167" s="1065">
        <v>0</v>
      </c>
      <c r="AA167" s="1065">
        <v>0.25</v>
      </c>
      <c r="AB167" s="1065">
        <v>0.25</v>
      </c>
      <c r="AC167" s="1065">
        <v>0.25</v>
      </c>
      <c r="AD167" s="1066">
        <v>0</v>
      </c>
      <c r="AE167" s="1066">
        <f>2048600000/4</f>
        <v>512150000</v>
      </c>
      <c r="AF167" s="1066">
        <v>0</v>
      </c>
      <c r="AG167" s="1066">
        <v>0</v>
      </c>
      <c r="AH167" s="1075"/>
      <c r="AI167" s="1075">
        <f>1251851074.5/4</f>
        <v>312962768.625</v>
      </c>
      <c r="AJ167" s="1075"/>
      <c r="AK167" s="1075"/>
      <c r="AL167" s="1112" t="e">
        <f t="shared" si="337"/>
        <v>#DIV/0!</v>
      </c>
      <c r="AM167" s="1112">
        <f t="shared" si="337"/>
        <v>0.61107638118715224</v>
      </c>
      <c r="AN167" s="1112" t="e">
        <f t="shared" si="337"/>
        <v>#DIV/0!</v>
      </c>
      <c r="AO167" s="1112" t="e">
        <f t="shared" si="337"/>
        <v>#DIV/0!</v>
      </c>
      <c r="AP167" s="1087"/>
      <c r="AQ167" s="1068">
        <f>429761422.31/4</f>
        <v>107440355.5775</v>
      </c>
      <c r="AR167" s="1560"/>
      <c r="AS167" s="1069"/>
      <c r="AT167" s="1140" t="e">
        <f t="shared" si="338"/>
        <v>#DIV/0!</v>
      </c>
      <c r="AU167" s="1140">
        <f t="shared" si="338"/>
        <v>0.20978298462852679</v>
      </c>
      <c r="AV167" s="1140" t="e">
        <f t="shared" si="338"/>
        <v>#DIV/0!</v>
      </c>
      <c r="AW167" s="1140" t="e">
        <f t="shared" si="330"/>
        <v>#DIV/0!</v>
      </c>
      <c r="AX167" s="1044">
        <f t="shared" si="387"/>
        <v>0</v>
      </c>
      <c r="AY167" s="1044">
        <f t="shared" si="387"/>
        <v>205522413.04750001</v>
      </c>
      <c r="AZ167" s="1044">
        <f t="shared" si="387"/>
        <v>0</v>
      </c>
      <c r="BA167" s="1044">
        <f t="shared" si="387"/>
        <v>0</v>
      </c>
      <c r="BB167" s="1075"/>
      <c r="BC167" s="1075"/>
      <c r="BD167" s="1075"/>
      <c r="BE167" s="1075"/>
      <c r="BF167" s="1071" t="e">
        <f t="shared" si="340"/>
        <v>#DIV/0!</v>
      </c>
      <c r="BG167" s="1071">
        <f t="shared" si="340"/>
        <v>0</v>
      </c>
      <c r="BH167" s="1071" t="e">
        <f t="shared" si="340"/>
        <v>#DIV/0!</v>
      </c>
      <c r="BI167" s="1071" t="e">
        <f t="shared" si="332"/>
        <v>#DIV/0!</v>
      </c>
      <c r="BJ167" s="1075">
        <f t="shared" si="367"/>
        <v>512150000</v>
      </c>
      <c r="BK167" s="1091">
        <f t="shared" si="368"/>
        <v>312962768.625</v>
      </c>
      <c r="BL167" s="1092">
        <f t="shared" si="365"/>
        <v>0.61107638118715224</v>
      </c>
      <c r="BM167" s="1091">
        <f t="shared" si="366"/>
        <v>107440355.5775</v>
      </c>
      <c r="BN167" s="1093">
        <f t="shared" si="347"/>
        <v>0.20978298462852679</v>
      </c>
      <c r="BO167" s="1075"/>
      <c r="BP167" s="1512" t="s">
        <v>2533</v>
      </c>
      <c r="BQ167" s="1531" t="s">
        <v>2193</v>
      </c>
      <c r="BR167" s="1469" t="s">
        <v>2535</v>
      </c>
    </row>
    <row r="168" spans="1:70" ht="12.75" customHeight="1" thickBot="1">
      <c r="A168" s="1965" t="s">
        <v>2569</v>
      </c>
      <c r="B168" s="1412" t="s">
        <v>2570</v>
      </c>
      <c r="C168" s="1055" t="s">
        <v>2181</v>
      </c>
      <c r="D168" s="1961">
        <v>0</v>
      </c>
      <c r="E168" s="1962">
        <v>1</v>
      </c>
      <c r="F168" s="1962">
        <v>1</v>
      </c>
      <c r="G168" s="1964">
        <v>1</v>
      </c>
      <c r="H168" s="1659"/>
      <c r="I168" s="1060">
        <v>2</v>
      </c>
      <c r="J168" s="1060"/>
      <c r="K168" s="1060"/>
      <c r="L168" s="1060"/>
      <c r="M168" s="1061"/>
      <c r="N168" s="1061"/>
      <c r="O168" s="1061"/>
      <c r="P168" s="1062"/>
      <c r="Q168" s="1062">
        <f t="shared" si="383"/>
        <v>1</v>
      </c>
      <c r="R168" s="1062">
        <f t="shared" si="383"/>
        <v>0</v>
      </c>
      <c r="S168" s="1062">
        <f t="shared" si="383"/>
        <v>0</v>
      </c>
      <c r="T168" s="1136" t="s">
        <v>2571</v>
      </c>
      <c r="U168" s="1034">
        <v>46022</v>
      </c>
      <c r="V168" s="1035">
        <f t="shared" si="384"/>
        <v>3</v>
      </c>
      <c r="W168" s="1035">
        <f t="shared" si="385"/>
        <v>2</v>
      </c>
      <c r="X168" s="1279">
        <f t="shared" si="386"/>
        <v>0.66666666666666663</v>
      </c>
      <c r="Y168" s="1065">
        <v>0.125</v>
      </c>
      <c r="Z168" s="1065">
        <v>0</v>
      </c>
      <c r="AA168" s="1065">
        <v>0.15</v>
      </c>
      <c r="AB168" s="1065">
        <v>0.15</v>
      </c>
      <c r="AC168" s="1065">
        <v>0.15</v>
      </c>
      <c r="AD168" s="1066">
        <v>0</v>
      </c>
      <c r="AE168" s="1066">
        <f t="shared" ref="AE168:AE170" si="388">2048600000/4</f>
        <v>512150000</v>
      </c>
      <c r="AF168" s="1066">
        <v>285000000</v>
      </c>
      <c r="AG168" s="1066">
        <v>300000000</v>
      </c>
      <c r="AH168" s="1075"/>
      <c r="AI168" s="1075">
        <f t="shared" ref="AI168:AI170" si="389">1251851074.5/4</f>
        <v>312962768.625</v>
      </c>
      <c r="AJ168" s="1075"/>
      <c r="AK168" s="1075"/>
      <c r="AL168" s="1112" t="e">
        <f t="shared" si="337"/>
        <v>#DIV/0!</v>
      </c>
      <c r="AM168" s="1112">
        <f t="shared" si="337"/>
        <v>0.61107638118715224</v>
      </c>
      <c r="AN168" s="1112">
        <f t="shared" si="337"/>
        <v>0</v>
      </c>
      <c r="AO168" s="1112">
        <f t="shared" si="337"/>
        <v>0</v>
      </c>
      <c r="AP168" s="1087"/>
      <c r="AQ168" s="1068">
        <f t="shared" ref="AQ168:AQ170" si="390">429761422.31/4</f>
        <v>107440355.5775</v>
      </c>
      <c r="AR168" s="1560"/>
      <c r="AS168" s="1069"/>
      <c r="AT168" s="1140" t="e">
        <f t="shared" si="338"/>
        <v>#DIV/0!</v>
      </c>
      <c r="AU168" s="1140">
        <f t="shared" si="338"/>
        <v>0.20978298462852679</v>
      </c>
      <c r="AV168" s="1140">
        <f t="shared" si="338"/>
        <v>0</v>
      </c>
      <c r="AW168" s="1140">
        <f t="shared" si="330"/>
        <v>0</v>
      </c>
      <c r="AX168" s="1044">
        <f t="shared" si="387"/>
        <v>0</v>
      </c>
      <c r="AY168" s="1044">
        <f t="shared" si="387"/>
        <v>205522413.04750001</v>
      </c>
      <c r="AZ168" s="1044">
        <f t="shared" si="387"/>
        <v>0</v>
      </c>
      <c r="BA168" s="1044">
        <f t="shared" si="387"/>
        <v>0</v>
      </c>
      <c r="BB168" s="1075"/>
      <c r="BC168" s="1075"/>
      <c r="BD168" s="1075"/>
      <c r="BE168" s="1075"/>
      <c r="BF168" s="1071" t="e">
        <f t="shared" si="340"/>
        <v>#DIV/0!</v>
      </c>
      <c r="BG168" s="1071">
        <f t="shared" si="340"/>
        <v>0</v>
      </c>
      <c r="BH168" s="1071" t="e">
        <f t="shared" si="340"/>
        <v>#DIV/0!</v>
      </c>
      <c r="BI168" s="1071" t="e">
        <f t="shared" si="332"/>
        <v>#DIV/0!</v>
      </c>
      <c r="BJ168" s="1075">
        <f t="shared" si="367"/>
        <v>1097150000</v>
      </c>
      <c r="BK168" s="1091">
        <f t="shared" si="368"/>
        <v>312962768.625</v>
      </c>
      <c r="BL168" s="1092">
        <f t="shared" si="365"/>
        <v>0.28525066638563551</v>
      </c>
      <c r="BM168" s="1091">
        <f t="shared" si="366"/>
        <v>107440355.5775</v>
      </c>
      <c r="BN168" s="1093">
        <f t="shared" si="347"/>
        <v>9.7926769883334097E-2</v>
      </c>
      <c r="BO168" s="1075"/>
      <c r="BP168" s="1512" t="s">
        <v>2533</v>
      </c>
      <c r="BQ168" s="1531" t="s">
        <v>2534</v>
      </c>
      <c r="BR168" s="1469" t="s">
        <v>2535</v>
      </c>
    </row>
    <row r="169" spans="1:70" ht="12.75" customHeight="1" thickBot="1">
      <c r="A169" s="1965" t="s">
        <v>2572</v>
      </c>
      <c r="B169" s="1412" t="s">
        <v>2573</v>
      </c>
      <c r="C169" s="1055" t="s">
        <v>2181</v>
      </c>
      <c r="D169" s="1961">
        <v>0</v>
      </c>
      <c r="E169" s="1962">
        <v>100</v>
      </c>
      <c r="F169" s="1962">
        <v>100</v>
      </c>
      <c r="G169" s="1964">
        <v>100</v>
      </c>
      <c r="H169" s="1659"/>
      <c r="I169" s="1060">
        <v>100</v>
      </c>
      <c r="J169" s="1060"/>
      <c r="K169" s="1060"/>
      <c r="L169" s="1060"/>
      <c r="M169" s="1061"/>
      <c r="N169" s="1061"/>
      <c r="O169" s="1061"/>
      <c r="P169" s="1062"/>
      <c r="Q169" s="1062">
        <f t="shared" si="383"/>
        <v>1</v>
      </c>
      <c r="R169" s="1062">
        <f t="shared" si="383"/>
        <v>0</v>
      </c>
      <c r="S169" s="1062">
        <f t="shared" si="383"/>
        <v>0</v>
      </c>
      <c r="T169" s="1136" t="s">
        <v>2574</v>
      </c>
      <c r="U169" s="1034">
        <v>46022</v>
      </c>
      <c r="V169" s="1035">
        <f t="shared" si="384"/>
        <v>300</v>
      </c>
      <c r="W169" s="1035">
        <f t="shared" si="385"/>
        <v>100</v>
      </c>
      <c r="X169" s="1279">
        <f t="shared" si="386"/>
        <v>0.33333333333333331</v>
      </c>
      <c r="Y169" s="1065">
        <v>0.15</v>
      </c>
      <c r="Z169" s="1065">
        <v>0</v>
      </c>
      <c r="AA169" s="1065">
        <v>0.15</v>
      </c>
      <c r="AB169" s="1065">
        <v>0.15</v>
      </c>
      <c r="AC169" s="1065">
        <v>0.15</v>
      </c>
      <c r="AD169" s="1066">
        <v>0</v>
      </c>
      <c r="AE169" s="1066">
        <f t="shared" si="388"/>
        <v>512150000</v>
      </c>
      <c r="AF169" s="1066">
        <v>380000000</v>
      </c>
      <c r="AG169" s="1066">
        <v>400000000</v>
      </c>
      <c r="AH169" s="1075"/>
      <c r="AI169" s="1075">
        <f t="shared" si="389"/>
        <v>312962768.625</v>
      </c>
      <c r="AJ169" s="1075"/>
      <c r="AK169" s="1075"/>
      <c r="AL169" s="1112" t="e">
        <f t="shared" si="337"/>
        <v>#DIV/0!</v>
      </c>
      <c r="AM169" s="1112">
        <f t="shared" si="337"/>
        <v>0.61107638118715224</v>
      </c>
      <c r="AN169" s="1112">
        <f t="shared" si="337"/>
        <v>0</v>
      </c>
      <c r="AO169" s="1112">
        <f t="shared" si="337"/>
        <v>0</v>
      </c>
      <c r="AP169" s="1087"/>
      <c r="AQ169" s="1068">
        <f t="shared" si="390"/>
        <v>107440355.5775</v>
      </c>
      <c r="AR169" s="1560"/>
      <c r="AS169" s="1069"/>
      <c r="AT169" s="1140" t="e">
        <f t="shared" si="338"/>
        <v>#DIV/0!</v>
      </c>
      <c r="AU169" s="1140">
        <f t="shared" si="338"/>
        <v>0.20978298462852679</v>
      </c>
      <c r="AV169" s="1140">
        <f t="shared" si="338"/>
        <v>0</v>
      </c>
      <c r="AW169" s="1140">
        <f t="shared" si="330"/>
        <v>0</v>
      </c>
      <c r="AX169" s="1044">
        <f t="shared" si="387"/>
        <v>0</v>
      </c>
      <c r="AY169" s="1044">
        <f t="shared" si="387"/>
        <v>205522413.04750001</v>
      </c>
      <c r="AZ169" s="1044">
        <f t="shared" si="387"/>
        <v>0</v>
      </c>
      <c r="BA169" s="1044">
        <f t="shared" si="387"/>
        <v>0</v>
      </c>
      <c r="BB169" s="1075"/>
      <c r="BC169" s="1075"/>
      <c r="BD169" s="1075"/>
      <c r="BE169" s="1075"/>
      <c r="BF169" s="1071" t="e">
        <f t="shared" si="340"/>
        <v>#DIV/0!</v>
      </c>
      <c r="BG169" s="1071">
        <f t="shared" si="340"/>
        <v>0</v>
      </c>
      <c r="BH169" s="1071" t="e">
        <f t="shared" si="340"/>
        <v>#DIV/0!</v>
      </c>
      <c r="BI169" s="1071" t="e">
        <f t="shared" si="332"/>
        <v>#DIV/0!</v>
      </c>
      <c r="BJ169" s="1075">
        <f t="shared" si="367"/>
        <v>1292150000</v>
      </c>
      <c r="BK169" s="1091">
        <f t="shared" si="368"/>
        <v>312962768.625</v>
      </c>
      <c r="BL169" s="1092">
        <f t="shared" si="365"/>
        <v>0.24220312550787448</v>
      </c>
      <c r="BM169" s="1091">
        <f t="shared" si="366"/>
        <v>107440355.5775</v>
      </c>
      <c r="BN169" s="1093">
        <f t="shared" si="347"/>
        <v>8.3148516486089077E-2</v>
      </c>
      <c r="BO169" s="1075"/>
      <c r="BP169" s="1512" t="s">
        <v>2533</v>
      </c>
      <c r="BQ169" s="1531" t="s">
        <v>2534</v>
      </c>
      <c r="BR169" s="1469" t="s">
        <v>2535</v>
      </c>
    </row>
    <row r="170" spans="1:70" ht="12.75" customHeight="1" thickBot="1">
      <c r="A170" s="1965" t="s">
        <v>2575</v>
      </c>
      <c r="B170" s="1412" t="s">
        <v>2576</v>
      </c>
      <c r="C170" s="1055" t="s">
        <v>2181</v>
      </c>
      <c r="D170" s="2015">
        <v>1</v>
      </c>
      <c r="E170" s="2016">
        <v>1</v>
      </c>
      <c r="F170" s="2016">
        <v>1</v>
      </c>
      <c r="G170" s="2017">
        <v>1</v>
      </c>
      <c r="H170" s="1659">
        <v>1</v>
      </c>
      <c r="I170" s="1060">
        <v>1</v>
      </c>
      <c r="J170" s="1060"/>
      <c r="K170" s="1060"/>
      <c r="L170" s="1060"/>
      <c r="M170" s="1061"/>
      <c r="N170" s="1061"/>
      <c r="O170" s="1061"/>
      <c r="P170" s="1062">
        <f t="shared" ref="P170" si="391">IF((H170+L170)/D170&gt;=100%,100%,(H170+L170)/D170)</f>
        <v>1</v>
      </c>
      <c r="Q170" s="1062">
        <f t="shared" si="383"/>
        <v>1</v>
      </c>
      <c r="R170" s="1062">
        <f t="shared" si="383"/>
        <v>0</v>
      </c>
      <c r="S170" s="1062">
        <f t="shared" si="383"/>
        <v>0</v>
      </c>
      <c r="T170" s="1669" t="s">
        <v>2577</v>
      </c>
      <c r="U170" s="1034">
        <v>46022</v>
      </c>
      <c r="V170" s="1035">
        <f t="shared" si="384"/>
        <v>4</v>
      </c>
      <c r="W170" s="1035">
        <f t="shared" si="385"/>
        <v>2</v>
      </c>
      <c r="X170" s="1279">
        <f t="shared" si="386"/>
        <v>0.5</v>
      </c>
      <c r="Y170" s="1065">
        <v>0.2</v>
      </c>
      <c r="Z170" s="1065">
        <v>1</v>
      </c>
      <c r="AA170" s="1065">
        <v>0.2</v>
      </c>
      <c r="AB170" s="1065">
        <v>0.2</v>
      </c>
      <c r="AC170" s="1065">
        <v>0.2</v>
      </c>
      <c r="AD170" s="1066">
        <v>226450000</v>
      </c>
      <c r="AE170" s="1066">
        <f t="shared" si="388"/>
        <v>512150000</v>
      </c>
      <c r="AF170" s="1066">
        <v>352000000</v>
      </c>
      <c r="AG170" s="1066">
        <v>460000000</v>
      </c>
      <c r="AH170" s="1066">
        <v>226450000</v>
      </c>
      <c r="AI170" s="1075">
        <f t="shared" si="389"/>
        <v>312962768.625</v>
      </c>
      <c r="AJ170" s="1075"/>
      <c r="AK170" s="1075"/>
      <c r="AL170" s="1173">
        <f t="shared" si="337"/>
        <v>1</v>
      </c>
      <c r="AM170" s="1173">
        <f t="shared" si="337"/>
        <v>0.61107638118715224</v>
      </c>
      <c r="AN170" s="1173">
        <f t="shared" si="337"/>
        <v>0</v>
      </c>
      <c r="AO170" s="1173">
        <f t="shared" si="337"/>
        <v>0</v>
      </c>
      <c r="AP170" s="1070">
        <v>226450000</v>
      </c>
      <c r="AQ170" s="1068">
        <f t="shared" si="390"/>
        <v>107440355.5775</v>
      </c>
      <c r="AR170" s="1560"/>
      <c r="AS170" s="1069"/>
      <c r="AT170" s="1140">
        <f t="shared" si="338"/>
        <v>1</v>
      </c>
      <c r="AU170" s="1140">
        <f t="shared" si="338"/>
        <v>0.20978298462852679</v>
      </c>
      <c r="AV170" s="1140">
        <f t="shared" si="338"/>
        <v>0</v>
      </c>
      <c r="AW170" s="1140">
        <f t="shared" si="330"/>
        <v>0</v>
      </c>
      <c r="AX170" s="1044">
        <f t="shared" si="387"/>
        <v>0</v>
      </c>
      <c r="AY170" s="1044">
        <f t="shared" si="387"/>
        <v>205522413.04750001</v>
      </c>
      <c r="AZ170" s="1044">
        <f t="shared" si="387"/>
        <v>0</v>
      </c>
      <c r="BA170" s="1044">
        <f t="shared" si="387"/>
        <v>0</v>
      </c>
      <c r="BB170" s="1075"/>
      <c r="BC170" s="1075"/>
      <c r="BD170" s="1075"/>
      <c r="BE170" s="1075"/>
      <c r="BF170" s="1071" t="e">
        <f t="shared" si="340"/>
        <v>#DIV/0!</v>
      </c>
      <c r="BG170" s="1071">
        <f t="shared" si="340"/>
        <v>0</v>
      </c>
      <c r="BH170" s="1071" t="e">
        <f t="shared" si="340"/>
        <v>#DIV/0!</v>
      </c>
      <c r="BI170" s="1071" t="e">
        <f t="shared" si="332"/>
        <v>#DIV/0!</v>
      </c>
      <c r="BJ170" s="1075">
        <f t="shared" si="367"/>
        <v>1550600000</v>
      </c>
      <c r="BK170" s="1091">
        <f t="shared" si="368"/>
        <v>539412768.625</v>
      </c>
      <c r="BL170" s="1092">
        <f t="shared" si="365"/>
        <v>0.3478735770830646</v>
      </c>
      <c r="BM170" s="1091">
        <f t="shared" si="366"/>
        <v>333890355.57749999</v>
      </c>
      <c r="BN170" s="1093">
        <f t="shared" si="347"/>
        <v>0.21532977916774151</v>
      </c>
      <c r="BO170" s="1075"/>
      <c r="BP170" s="1512" t="s">
        <v>2533</v>
      </c>
      <c r="BQ170" s="1531" t="s">
        <v>2193</v>
      </c>
      <c r="BR170" s="1469" t="s">
        <v>2535</v>
      </c>
    </row>
    <row r="171" spans="1:70" ht="12.75" customHeight="1" thickBot="1">
      <c r="A171" s="1967" t="s">
        <v>2578</v>
      </c>
      <c r="B171" s="1992" t="s">
        <v>2579</v>
      </c>
      <c r="C171" s="1152" t="s">
        <v>2181</v>
      </c>
      <c r="D171" s="1969">
        <v>0</v>
      </c>
      <c r="E171" s="1970">
        <v>0</v>
      </c>
      <c r="F171" s="1970">
        <v>0</v>
      </c>
      <c r="G171" s="1971">
        <v>1</v>
      </c>
      <c r="H171" s="1634"/>
      <c r="I171" s="1182"/>
      <c r="J171" s="1182"/>
      <c r="K171" s="1182"/>
      <c r="L171" s="1182"/>
      <c r="M171" s="1101"/>
      <c r="N171" s="1101"/>
      <c r="O171" s="1101"/>
      <c r="P171" s="1102"/>
      <c r="Q171" s="1102"/>
      <c r="R171" s="1102" t="e">
        <f t="shared" si="383"/>
        <v>#DIV/0!</v>
      </c>
      <c r="S171" s="1102">
        <f t="shared" si="383"/>
        <v>0</v>
      </c>
      <c r="T171" s="1972"/>
      <c r="U171" s="1034">
        <v>46022</v>
      </c>
      <c r="V171" s="1035">
        <f t="shared" si="384"/>
        <v>1</v>
      </c>
      <c r="W171" s="1035">
        <f t="shared" si="385"/>
        <v>0</v>
      </c>
      <c r="X171" s="1279">
        <f t="shared" si="386"/>
        <v>0</v>
      </c>
      <c r="Y171" s="1104">
        <v>0.22500000000000001</v>
      </c>
      <c r="Z171" s="1104">
        <v>0</v>
      </c>
      <c r="AA171" s="1104">
        <v>0</v>
      </c>
      <c r="AB171" s="1104">
        <v>0</v>
      </c>
      <c r="AC171" s="1104">
        <v>0</v>
      </c>
      <c r="AD171" s="1106">
        <v>0</v>
      </c>
      <c r="AE171" s="1106">
        <v>0</v>
      </c>
      <c r="AF171" s="1106">
        <v>0</v>
      </c>
      <c r="AG171" s="1106">
        <v>1550000000</v>
      </c>
      <c r="AH171" s="1113"/>
      <c r="AI171" s="1113"/>
      <c r="AJ171" s="1113"/>
      <c r="AK171" s="1113"/>
      <c r="AL171" s="1112" t="e">
        <f t="shared" si="337"/>
        <v>#DIV/0!</v>
      </c>
      <c r="AM171" s="1112" t="e">
        <f t="shared" si="337"/>
        <v>#DIV/0!</v>
      </c>
      <c r="AN171" s="1112" t="e">
        <f t="shared" si="337"/>
        <v>#DIV/0!</v>
      </c>
      <c r="AO171" s="1112">
        <f t="shared" si="337"/>
        <v>0</v>
      </c>
      <c r="AP171" s="1109"/>
      <c r="AQ171" s="1187"/>
      <c r="AR171" s="1567"/>
      <c r="AS171" s="1188"/>
      <c r="AT171" s="1140" t="e">
        <f t="shared" si="338"/>
        <v>#DIV/0!</v>
      </c>
      <c r="AU171" s="1140" t="e">
        <f t="shared" si="338"/>
        <v>#DIV/0!</v>
      </c>
      <c r="AV171" s="1140" t="e">
        <f t="shared" si="338"/>
        <v>#DIV/0!</v>
      </c>
      <c r="AW171" s="1140">
        <f t="shared" si="330"/>
        <v>0</v>
      </c>
      <c r="AX171" s="1044">
        <f t="shared" si="387"/>
        <v>0</v>
      </c>
      <c r="AY171" s="1044">
        <f t="shared" si="387"/>
        <v>0</v>
      </c>
      <c r="AZ171" s="1044">
        <f t="shared" si="387"/>
        <v>0</v>
      </c>
      <c r="BA171" s="1044">
        <f t="shared" si="387"/>
        <v>0</v>
      </c>
      <c r="BB171" s="1113"/>
      <c r="BC171" s="1113"/>
      <c r="BD171" s="1113"/>
      <c r="BE171" s="1113"/>
      <c r="BF171" s="1190" t="e">
        <f t="shared" si="340"/>
        <v>#DIV/0!</v>
      </c>
      <c r="BG171" s="1190" t="e">
        <f t="shared" si="340"/>
        <v>#DIV/0!</v>
      </c>
      <c r="BH171" s="1190" t="e">
        <f t="shared" si="340"/>
        <v>#DIV/0!</v>
      </c>
      <c r="BI171" s="1190" t="e">
        <f t="shared" si="332"/>
        <v>#DIV/0!</v>
      </c>
      <c r="BJ171" s="1113">
        <f t="shared" si="367"/>
        <v>1550000000</v>
      </c>
      <c r="BK171" s="1484">
        <f t="shared" si="368"/>
        <v>0</v>
      </c>
      <c r="BL171" s="1485">
        <f t="shared" si="365"/>
        <v>0</v>
      </c>
      <c r="BM171" s="1484">
        <f t="shared" si="366"/>
        <v>0</v>
      </c>
      <c r="BN171" s="1486">
        <f t="shared" si="347"/>
        <v>0</v>
      </c>
      <c r="BO171" s="1113"/>
      <c r="BP171" s="1435" t="s">
        <v>2533</v>
      </c>
      <c r="BQ171" s="1436" t="s">
        <v>2193</v>
      </c>
      <c r="BR171" s="1437" t="s">
        <v>2535</v>
      </c>
    </row>
    <row r="172" spans="1:70" ht="12.75" customHeight="1">
      <c r="A172" s="1995" t="s">
        <v>2580</v>
      </c>
      <c r="B172" s="1995"/>
      <c r="C172" s="1996"/>
      <c r="D172" s="1996"/>
      <c r="E172" s="1997"/>
      <c r="F172" s="1997"/>
      <c r="G172" s="1997"/>
      <c r="H172" s="1997"/>
      <c r="I172" s="1997"/>
      <c r="J172" s="1997"/>
      <c r="K172" s="1997"/>
      <c r="L172" s="1997"/>
      <c r="M172" s="1997"/>
      <c r="N172" s="1997"/>
      <c r="O172" s="1997"/>
      <c r="P172" s="1998">
        <f>+(P173*AD173)</f>
        <v>0</v>
      </c>
      <c r="Q172" s="1998">
        <f>+(Q173*AA173)</f>
        <v>0.4</v>
      </c>
      <c r="R172" s="1999">
        <f>+(R173*AB173)</f>
        <v>0</v>
      </c>
      <c r="S172" s="1999" t="e">
        <f>+(S173*AC173)</f>
        <v>#DIV/0!</v>
      </c>
      <c r="T172" s="2000"/>
      <c r="U172" s="1995"/>
      <c r="V172" s="2001"/>
      <c r="W172" s="2002"/>
      <c r="X172" s="1998">
        <f>+(X173*Y173)</f>
        <v>0.2</v>
      </c>
      <c r="Y172" s="2003">
        <v>0.05</v>
      </c>
      <c r="Z172" s="2003">
        <v>0</v>
      </c>
      <c r="AA172" s="2003">
        <v>0.05</v>
      </c>
      <c r="AB172" s="2003">
        <v>0.05</v>
      </c>
      <c r="AC172" s="2003">
        <v>0.05</v>
      </c>
      <c r="AD172" s="1996">
        <f>+AD173</f>
        <v>0</v>
      </c>
      <c r="AE172" s="1996">
        <f>+AE173</f>
        <v>729000000</v>
      </c>
      <c r="AF172" s="1996">
        <f t="shared" ref="AF172:AK172" si="392">+AF173</f>
        <v>1330000000</v>
      </c>
      <c r="AG172" s="1996">
        <f t="shared" si="392"/>
        <v>500000000</v>
      </c>
      <c r="AH172" s="1996">
        <f t="shared" si="392"/>
        <v>0</v>
      </c>
      <c r="AI172" s="1996">
        <f t="shared" si="392"/>
        <v>721740000</v>
      </c>
      <c r="AJ172" s="1996">
        <f t="shared" si="392"/>
        <v>0</v>
      </c>
      <c r="AK172" s="1996">
        <f t="shared" si="392"/>
        <v>0</v>
      </c>
      <c r="AL172" s="2018" t="e">
        <f t="shared" si="337"/>
        <v>#DIV/0!</v>
      </c>
      <c r="AM172" s="2018">
        <f t="shared" si="337"/>
        <v>0.99004115226337452</v>
      </c>
      <c r="AN172" s="2018">
        <f t="shared" si="337"/>
        <v>0</v>
      </c>
      <c r="AO172" s="2018">
        <f t="shared" si="337"/>
        <v>0</v>
      </c>
      <c r="AP172" s="1996">
        <f t="shared" ref="AP172:AS172" si="393">+AP173</f>
        <v>0</v>
      </c>
      <c r="AQ172" s="1996">
        <f t="shared" si="393"/>
        <v>534785637.44999999</v>
      </c>
      <c r="AR172" s="1996">
        <f t="shared" si="393"/>
        <v>0</v>
      </c>
      <c r="AS172" s="1996">
        <f t="shared" si="393"/>
        <v>0</v>
      </c>
      <c r="AT172" s="2004" t="e">
        <f t="shared" si="338"/>
        <v>#DIV/0!</v>
      </c>
      <c r="AU172" s="2004">
        <f t="shared" si="338"/>
        <v>0.73358798004115222</v>
      </c>
      <c r="AV172" s="2004">
        <f t="shared" si="338"/>
        <v>0</v>
      </c>
      <c r="AW172" s="2004">
        <f t="shared" si="330"/>
        <v>0</v>
      </c>
      <c r="AX172" s="1996">
        <f t="shared" ref="AX172:BE172" si="394">+AX173</f>
        <v>0</v>
      </c>
      <c r="AY172" s="1996">
        <f t="shared" si="394"/>
        <v>186954362.55000001</v>
      </c>
      <c r="AZ172" s="1996">
        <f t="shared" si="394"/>
        <v>0</v>
      </c>
      <c r="BA172" s="1996">
        <f t="shared" si="394"/>
        <v>0</v>
      </c>
      <c r="BB172" s="1996">
        <f t="shared" si="394"/>
        <v>0</v>
      </c>
      <c r="BC172" s="1996">
        <f t="shared" si="394"/>
        <v>0</v>
      </c>
      <c r="BD172" s="1996">
        <f t="shared" si="394"/>
        <v>0</v>
      </c>
      <c r="BE172" s="1996">
        <f t="shared" si="394"/>
        <v>0</v>
      </c>
      <c r="BF172" s="2003" t="e">
        <f t="shared" si="340"/>
        <v>#DIV/0!</v>
      </c>
      <c r="BG172" s="2003">
        <f t="shared" si="340"/>
        <v>0</v>
      </c>
      <c r="BH172" s="2003" t="e">
        <f t="shared" si="340"/>
        <v>#DIV/0!</v>
      </c>
      <c r="BI172" s="2003" t="e">
        <f t="shared" si="332"/>
        <v>#DIV/0!</v>
      </c>
      <c r="BJ172" s="1996">
        <f t="shared" si="367"/>
        <v>2559000000</v>
      </c>
      <c r="BK172" s="2005">
        <f t="shared" si="368"/>
        <v>721740000</v>
      </c>
      <c r="BL172" s="2006">
        <f t="shared" si="365"/>
        <v>0.28203985932004688</v>
      </c>
      <c r="BM172" s="2005">
        <f t="shared" si="366"/>
        <v>534785637.44999999</v>
      </c>
      <c r="BN172" s="2007">
        <f t="shared" si="347"/>
        <v>0.20898227332942554</v>
      </c>
      <c r="BO172" s="1996"/>
      <c r="BP172" s="2008"/>
      <c r="BQ172" s="2008"/>
      <c r="BR172" s="2019"/>
    </row>
    <row r="173" spans="1:70" ht="12.75" customHeight="1" thickBot="1">
      <c r="A173" s="1941" t="s">
        <v>2581</v>
      </c>
      <c r="B173" s="1941"/>
      <c r="C173" s="1942"/>
      <c r="D173" s="1942"/>
      <c r="E173" s="1943"/>
      <c r="F173" s="1943"/>
      <c r="G173" s="1943"/>
      <c r="H173" s="1943"/>
      <c r="I173" s="1943"/>
      <c r="J173" s="1943"/>
      <c r="K173" s="1943"/>
      <c r="L173" s="1943"/>
      <c r="M173" s="1943"/>
      <c r="N173" s="1943"/>
      <c r="O173" s="1943"/>
      <c r="P173" s="1944">
        <f>+SUMPRODUCT(P174:P176,Z174:Z176)</f>
        <v>0</v>
      </c>
      <c r="Q173" s="1945">
        <f>+SUMPRODUCT(Q174:Q176,AA174:AA176)</f>
        <v>0.4</v>
      </c>
      <c r="R173" s="1946">
        <f>+SUMPRODUCT(R174:R176,AB174:AB176)</f>
        <v>0</v>
      </c>
      <c r="S173" s="1946" t="e">
        <f>+SUMPRODUCT(S174:S176,AC174:AC176)</f>
        <v>#DIV/0!</v>
      </c>
      <c r="T173" s="2009"/>
      <c r="U173" s="1941"/>
      <c r="V173" s="1948"/>
      <c r="W173" s="1949"/>
      <c r="X173" s="1944">
        <f>+SUMPRODUCT(X174:X176,Y174:Y176)</f>
        <v>0.2</v>
      </c>
      <c r="Y173" s="1945">
        <v>1</v>
      </c>
      <c r="Z173" s="1945">
        <v>0</v>
      </c>
      <c r="AA173" s="1945">
        <v>1</v>
      </c>
      <c r="AB173" s="1945">
        <v>1</v>
      </c>
      <c r="AC173" s="1945">
        <v>1</v>
      </c>
      <c r="AD173" s="1942">
        <f>SUM(AD174:AD176)</f>
        <v>0</v>
      </c>
      <c r="AE173" s="1942">
        <f>SUM(AE174:AE176)</f>
        <v>729000000</v>
      </c>
      <c r="AF173" s="1942">
        <f t="shared" ref="AF173:AK173" si="395">SUM(AF174:AF176)</f>
        <v>1330000000</v>
      </c>
      <c r="AG173" s="1942">
        <f t="shared" si="395"/>
        <v>500000000</v>
      </c>
      <c r="AH173" s="1942">
        <f t="shared" si="395"/>
        <v>0</v>
      </c>
      <c r="AI173" s="1942">
        <f t="shared" si="395"/>
        <v>721740000</v>
      </c>
      <c r="AJ173" s="1942">
        <f t="shared" si="395"/>
        <v>0</v>
      </c>
      <c r="AK173" s="1942">
        <f t="shared" si="395"/>
        <v>0</v>
      </c>
      <c r="AL173" s="2020" t="e">
        <f t="shared" si="337"/>
        <v>#DIV/0!</v>
      </c>
      <c r="AM173" s="2020">
        <f t="shared" si="337"/>
        <v>0.99004115226337452</v>
      </c>
      <c r="AN173" s="2020">
        <f t="shared" si="337"/>
        <v>0</v>
      </c>
      <c r="AO173" s="2020">
        <f t="shared" si="337"/>
        <v>0</v>
      </c>
      <c r="AP173" s="1942">
        <f t="shared" ref="AP173:AS173" si="396">SUM(AP174:AP176)</f>
        <v>0</v>
      </c>
      <c r="AQ173" s="1942">
        <f t="shared" si="396"/>
        <v>534785637.44999999</v>
      </c>
      <c r="AR173" s="1942">
        <f t="shared" si="396"/>
        <v>0</v>
      </c>
      <c r="AS173" s="1942">
        <f t="shared" si="396"/>
        <v>0</v>
      </c>
      <c r="AT173" s="1950" t="e">
        <f t="shared" si="338"/>
        <v>#DIV/0!</v>
      </c>
      <c r="AU173" s="1950">
        <f t="shared" si="338"/>
        <v>0.73358798004115222</v>
      </c>
      <c r="AV173" s="1950">
        <f t="shared" si="338"/>
        <v>0</v>
      </c>
      <c r="AW173" s="1950">
        <f t="shared" si="330"/>
        <v>0</v>
      </c>
      <c r="AX173" s="1942">
        <f t="shared" ref="AX173:BE173" si="397">SUM(AX174:AX176)</f>
        <v>0</v>
      </c>
      <c r="AY173" s="1942">
        <f t="shared" si="397"/>
        <v>186954362.55000001</v>
      </c>
      <c r="AZ173" s="1942">
        <f t="shared" si="397"/>
        <v>0</v>
      </c>
      <c r="BA173" s="1942">
        <f t="shared" si="397"/>
        <v>0</v>
      </c>
      <c r="BB173" s="1942">
        <f t="shared" si="397"/>
        <v>0</v>
      </c>
      <c r="BC173" s="1942">
        <f t="shared" si="397"/>
        <v>0</v>
      </c>
      <c r="BD173" s="1942">
        <f t="shared" si="397"/>
        <v>0</v>
      </c>
      <c r="BE173" s="1942">
        <f t="shared" si="397"/>
        <v>0</v>
      </c>
      <c r="BF173" s="1945" t="e">
        <f t="shared" si="340"/>
        <v>#DIV/0!</v>
      </c>
      <c r="BG173" s="1945">
        <f t="shared" si="340"/>
        <v>0</v>
      </c>
      <c r="BH173" s="1945" t="e">
        <f t="shared" si="340"/>
        <v>#DIV/0!</v>
      </c>
      <c r="BI173" s="1945" t="e">
        <f t="shared" si="332"/>
        <v>#DIV/0!</v>
      </c>
      <c r="BJ173" s="1942">
        <f t="shared" si="367"/>
        <v>2559000000</v>
      </c>
      <c r="BK173" s="1951">
        <f t="shared" si="368"/>
        <v>721740000</v>
      </c>
      <c r="BL173" s="1952">
        <f t="shared" si="365"/>
        <v>0.28203985932004688</v>
      </c>
      <c r="BM173" s="1951">
        <f t="shared" si="366"/>
        <v>534785637.44999999</v>
      </c>
      <c r="BN173" s="1953">
        <f t="shared" si="347"/>
        <v>0.20898227332942554</v>
      </c>
      <c r="BO173" s="1942"/>
      <c r="BP173" s="1954"/>
      <c r="BQ173" s="1954"/>
      <c r="BR173" s="2021"/>
    </row>
    <row r="174" spans="1:70" ht="12.75" customHeight="1" thickBot="1">
      <c r="A174" s="2022" t="s">
        <v>2582</v>
      </c>
      <c r="B174" s="1955" t="s">
        <v>2583</v>
      </c>
      <c r="C174" s="1025" t="s">
        <v>2181</v>
      </c>
      <c r="D174" s="2023">
        <v>0</v>
      </c>
      <c r="E174" s="1990">
        <v>1</v>
      </c>
      <c r="F174" s="1990">
        <v>1</v>
      </c>
      <c r="G174" s="1991">
        <v>0</v>
      </c>
      <c r="H174" s="1627"/>
      <c r="I174" s="1030">
        <v>0</v>
      </c>
      <c r="J174" s="1030"/>
      <c r="K174" s="1030"/>
      <c r="L174" s="1030"/>
      <c r="M174" s="1031"/>
      <c r="N174" s="1031"/>
      <c r="O174" s="1031"/>
      <c r="P174" s="1032"/>
      <c r="Q174" s="1032">
        <f t="shared" ref="Q174:S176" si="398">IF((I174+M174)/E174&gt;=100%,100%,(I174+M174)/E174)</f>
        <v>0</v>
      </c>
      <c r="R174" s="1032">
        <f t="shared" si="398"/>
        <v>0</v>
      </c>
      <c r="S174" s="1032" t="e">
        <f t="shared" si="398"/>
        <v>#DIV/0!</v>
      </c>
      <c r="T174" s="1136" t="s">
        <v>2584</v>
      </c>
      <c r="U174" s="1034">
        <v>46022</v>
      </c>
      <c r="V174" s="1035">
        <f t="shared" ref="V174:V176" si="399">SUM(D174:G174)</f>
        <v>2</v>
      </c>
      <c r="W174" s="1035">
        <f t="shared" ref="W174:W176" si="400">SUM(H174:N174)</f>
        <v>0</v>
      </c>
      <c r="X174" s="1279">
        <f t="shared" ref="X174:X176" si="401">IF(W174/V174&gt;=100%,100%,W174/V174)</f>
        <v>0</v>
      </c>
      <c r="Y174" s="1037">
        <v>0.4</v>
      </c>
      <c r="Z174" s="1037"/>
      <c r="AA174" s="1037">
        <v>0.6</v>
      </c>
      <c r="AB174" s="1037">
        <v>0.6</v>
      </c>
      <c r="AC174" s="1037">
        <v>0.6</v>
      </c>
      <c r="AD174" s="1137">
        <v>0</v>
      </c>
      <c r="AE174" s="1137">
        <v>486000000</v>
      </c>
      <c r="AF174" s="1137">
        <v>570000000</v>
      </c>
      <c r="AG174" s="1137">
        <v>0</v>
      </c>
      <c r="AH174" s="1137">
        <v>0</v>
      </c>
      <c r="AI174" s="1137">
        <v>486000000</v>
      </c>
      <c r="AJ174" s="1137"/>
      <c r="AK174" s="1137"/>
      <c r="AL174" s="1112" t="e">
        <f t="shared" si="337"/>
        <v>#DIV/0!</v>
      </c>
      <c r="AM174" s="1112">
        <f t="shared" si="337"/>
        <v>1</v>
      </c>
      <c r="AN174" s="1112">
        <f t="shared" si="337"/>
        <v>0</v>
      </c>
      <c r="AO174" s="1112" t="e">
        <f t="shared" si="337"/>
        <v>#DIV/0!</v>
      </c>
      <c r="AP174" s="1283">
        <v>0</v>
      </c>
      <c r="AQ174" s="1041">
        <v>313889613.31</v>
      </c>
      <c r="AR174" s="1552"/>
      <c r="AS174" s="1042"/>
      <c r="AT174" s="1140" t="e">
        <f t="shared" si="338"/>
        <v>#DIV/0!</v>
      </c>
      <c r="AU174" s="1140">
        <f t="shared" si="338"/>
        <v>0.64586340187242797</v>
      </c>
      <c r="AV174" s="1140">
        <f t="shared" si="338"/>
        <v>0</v>
      </c>
      <c r="AW174" s="1140" t="e">
        <f t="shared" si="330"/>
        <v>#DIV/0!</v>
      </c>
      <c r="AX174" s="1044">
        <f t="shared" ref="AX174:BA176" si="402">+AH174-AP174</f>
        <v>0</v>
      </c>
      <c r="AY174" s="1044">
        <f t="shared" si="402"/>
        <v>172110386.69</v>
      </c>
      <c r="AZ174" s="1044">
        <f t="shared" si="402"/>
        <v>0</v>
      </c>
      <c r="BA174" s="1044">
        <f t="shared" si="402"/>
        <v>0</v>
      </c>
      <c r="BB174" s="1283"/>
      <c r="BC174" s="1283"/>
      <c r="BD174" s="1283"/>
      <c r="BE174" s="1283"/>
      <c r="BF174" s="1045" t="e">
        <f t="shared" si="340"/>
        <v>#DIV/0!</v>
      </c>
      <c r="BG174" s="1045">
        <f t="shared" si="340"/>
        <v>0</v>
      </c>
      <c r="BH174" s="1045" t="e">
        <f t="shared" si="340"/>
        <v>#DIV/0!</v>
      </c>
      <c r="BI174" s="1045" t="e">
        <f t="shared" si="332"/>
        <v>#DIV/0!</v>
      </c>
      <c r="BJ174" s="1283">
        <f t="shared" si="367"/>
        <v>1056000000</v>
      </c>
      <c r="BK174" s="1046">
        <f t="shared" si="368"/>
        <v>486000000</v>
      </c>
      <c r="BL174" s="1047">
        <f t="shared" si="365"/>
        <v>0.46022727272727271</v>
      </c>
      <c r="BM174" s="1046">
        <f t="shared" si="366"/>
        <v>313889613.31</v>
      </c>
      <c r="BN174" s="1048">
        <f t="shared" si="347"/>
        <v>0.29724395199810605</v>
      </c>
      <c r="BO174" s="1049"/>
      <c r="BP174" s="1409" t="s">
        <v>2449</v>
      </c>
      <c r="BQ174" s="1531" t="s">
        <v>2534</v>
      </c>
      <c r="BR174" s="1411" t="s">
        <v>2535</v>
      </c>
    </row>
    <row r="175" spans="1:70" ht="12.75" customHeight="1" thickBot="1">
      <c r="A175" s="2024" t="s">
        <v>2585</v>
      </c>
      <c r="B175" s="1960" t="s">
        <v>2586</v>
      </c>
      <c r="C175" s="1055" t="s">
        <v>2181</v>
      </c>
      <c r="D175" s="2025">
        <v>0</v>
      </c>
      <c r="E175" s="1962">
        <v>0</v>
      </c>
      <c r="F175" s="1962">
        <v>1</v>
      </c>
      <c r="G175" s="1964">
        <v>1</v>
      </c>
      <c r="H175" s="1659"/>
      <c r="I175" s="1060"/>
      <c r="J175" s="1060"/>
      <c r="K175" s="1060"/>
      <c r="L175" s="1060"/>
      <c r="M175" s="1061"/>
      <c r="N175" s="1061"/>
      <c r="O175" s="1061"/>
      <c r="P175" s="1062"/>
      <c r="Q175" s="1062"/>
      <c r="R175" s="1062">
        <f t="shared" si="398"/>
        <v>0</v>
      </c>
      <c r="S175" s="1062">
        <f t="shared" si="398"/>
        <v>0</v>
      </c>
      <c r="T175" s="1793"/>
      <c r="U175" s="1034">
        <v>46022</v>
      </c>
      <c r="V175" s="1035">
        <f t="shared" si="399"/>
        <v>2</v>
      </c>
      <c r="W175" s="1035">
        <f t="shared" si="400"/>
        <v>0</v>
      </c>
      <c r="X175" s="1279">
        <f t="shared" si="401"/>
        <v>0</v>
      </c>
      <c r="Y175" s="1065">
        <v>0.4</v>
      </c>
      <c r="Z175" s="1065"/>
      <c r="AA175" s="1065">
        <v>0</v>
      </c>
      <c r="AB175" s="1065">
        <v>0</v>
      </c>
      <c r="AC175" s="1065">
        <v>0</v>
      </c>
      <c r="AD175" s="1066">
        <v>0</v>
      </c>
      <c r="AE175" s="1066">
        <v>0</v>
      </c>
      <c r="AF175" s="1066">
        <v>475000000</v>
      </c>
      <c r="AG175" s="1066">
        <v>500000000</v>
      </c>
      <c r="AH175" s="1066">
        <v>0</v>
      </c>
      <c r="AI175" s="1066"/>
      <c r="AJ175" s="1066"/>
      <c r="AK175" s="1066"/>
      <c r="AL175" s="1112" t="e">
        <f t="shared" si="337"/>
        <v>#DIV/0!</v>
      </c>
      <c r="AM175" s="1112" t="e">
        <f t="shared" si="337"/>
        <v>#DIV/0!</v>
      </c>
      <c r="AN175" s="1112">
        <f t="shared" si="337"/>
        <v>0</v>
      </c>
      <c r="AO175" s="1112">
        <f t="shared" si="337"/>
        <v>0</v>
      </c>
      <c r="AP175" s="1070">
        <v>0</v>
      </c>
      <c r="AQ175" s="1068"/>
      <c r="AR175" s="1560"/>
      <c r="AS175" s="1069"/>
      <c r="AT175" s="1140" t="e">
        <f t="shared" si="338"/>
        <v>#DIV/0!</v>
      </c>
      <c r="AU175" s="1140" t="e">
        <f t="shared" si="338"/>
        <v>#DIV/0!</v>
      </c>
      <c r="AV175" s="1140">
        <f t="shared" si="338"/>
        <v>0</v>
      </c>
      <c r="AW175" s="1140">
        <f t="shared" si="330"/>
        <v>0</v>
      </c>
      <c r="AX175" s="1044">
        <f t="shared" si="402"/>
        <v>0</v>
      </c>
      <c r="AY175" s="1044">
        <f t="shared" si="402"/>
        <v>0</v>
      </c>
      <c r="AZ175" s="1044">
        <f t="shared" si="402"/>
        <v>0</v>
      </c>
      <c r="BA175" s="1044">
        <f t="shared" si="402"/>
        <v>0</v>
      </c>
      <c r="BB175" s="1070"/>
      <c r="BC175" s="1070"/>
      <c r="BD175" s="1070"/>
      <c r="BE175" s="1070"/>
      <c r="BF175" s="1071" t="e">
        <f t="shared" si="340"/>
        <v>#DIV/0!</v>
      </c>
      <c r="BG175" s="1071" t="e">
        <f t="shared" si="340"/>
        <v>#DIV/0!</v>
      </c>
      <c r="BH175" s="1071" t="e">
        <f t="shared" si="340"/>
        <v>#DIV/0!</v>
      </c>
      <c r="BI175" s="1071" t="e">
        <f t="shared" si="332"/>
        <v>#DIV/0!</v>
      </c>
      <c r="BJ175" s="1070">
        <f t="shared" si="367"/>
        <v>975000000</v>
      </c>
      <c r="BK175" s="1072">
        <f t="shared" si="368"/>
        <v>0</v>
      </c>
      <c r="BL175" s="1073">
        <f t="shared" si="365"/>
        <v>0</v>
      </c>
      <c r="BM175" s="1072">
        <f t="shared" si="366"/>
        <v>0</v>
      </c>
      <c r="BN175" s="1074">
        <f t="shared" si="347"/>
        <v>0</v>
      </c>
      <c r="BO175" s="1075"/>
      <c r="BP175" s="1512" t="s">
        <v>2449</v>
      </c>
      <c r="BQ175" s="1531" t="s">
        <v>2534</v>
      </c>
      <c r="BR175" s="1469" t="s">
        <v>2535</v>
      </c>
    </row>
    <row r="176" spans="1:70" ht="12.75" customHeight="1" thickBot="1">
      <c r="A176" s="1967" t="s">
        <v>2587</v>
      </c>
      <c r="B176" s="1992" t="s">
        <v>2588</v>
      </c>
      <c r="C176" s="1152" t="s">
        <v>2181</v>
      </c>
      <c r="D176" s="1993">
        <v>0</v>
      </c>
      <c r="E176" s="1970">
        <v>1</v>
      </c>
      <c r="F176" s="1970">
        <v>1</v>
      </c>
      <c r="G176" s="1971">
        <v>0</v>
      </c>
      <c r="H176" s="1634"/>
      <c r="I176" s="1182">
        <v>2</v>
      </c>
      <c r="J176" s="1182"/>
      <c r="K176" s="1182"/>
      <c r="L176" s="1182"/>
      <c r="M176" s="1101"/>
      <c r="N176" s="1101"/>
      <c r="O176" s="1101"/>
      <c r="P176" s="1102"/>
      <c r="Q176" s="1102">
        <f t="shared" si="398"/>
        <v>1</v>
      </c>
      <c r="R176" s="1102">
        <f t="shared" si="398"/>
        <v>0</v>
      </c>
      <c r="S176" s="1102" t="e">
        <f t="shared" si="398"/>
        <v>#DIV/0!</v>
      </c>
      <c r="T176" s="1158" t="s">
        <v>2589</v>
      </c>
      <c r="U176" s="1034">
        <v>46022</v>
      </c>
      <c r="V176" s="1035">
        <f t="shared" si="399"/>
        <v>2</v>
      </c>
      <c r="W176" s="1035">
        <f t="shared" si="400"/>
        <v>2</v>
      </c>
      <c r="X176" s="1279">
        <f t="shared" si="401"/>
        <v>1</v>
      </c>
      <c r="Y176" s="1104">
        <v>0.2</v>
      </c>
      <c r="Z176" s="1104"/>
      <c r="AA176" s="1104">
        <v>0.4</v>
      </c>
      <c r="AB176" s="1104">
        <v>0.4</v>
      </c>
      <c r="AC176" s="1104">
        <v>0.4</v>
      </c>
      <c r="AD176" s="1106">
        <v>0</v>
      </c>
      <c r="AE176" s="1106">
        <v>243000000</v>
      </c>
      <c r="AF176" s="1106">
        <v>285000000</v>
      </c>
      <c r="AG176" s="1106">
        <v>0</v>
      </c>
      <c r="AH176" s="1106">
        <v>0</v>
      </c>
      <c r="AI176" s="1106">
        <v>235740000</v>
      </c>
      <c r="AJ176" s="1106"/>
      <c r="AK176" s="1106"/>
      <c r="AL176" s="1112" t="e">
        <f t="shared" si="337"/>
        <v>#DIV/0!</v>
      </c>
      <c r="AM176" s="1112">
        <f t="shared" si="337"/>
        <v>0.97012345679012346</v>
      </c>
      <c r="AN176" s="1112">
        <f t="shared" si="337"/>
        <v>0</v>
      </c>
      <c r="AO176" s="1112" t="e">
        <f t="shared" si="337"/>
        <v>#DIV/0!</v>
      </c>
      <c r="AP176" s="1107">
        <v>0</v>
      </c>
      <c r="AQ176" s="1187">
        <v>220896024.13999999</v>
      </c>
      <c r="AR176" s="1567"/>
      <c r="AS176" s="1188"/>
      <c r="AT176" s="1140" t="e">
        <f t="shared" si="338"/>
        <v>#DIV/0!</v>
      </c>
      <c r="AU176" s="1140">
        <f t="shared" si="338"/>
        <v>0.90903713637860073</v>
      </c>
      <c r="AV176" s="1140">
        <f t="shared" si="338"/>
        <v>0</v>
      </c>
      <c r="AW176" s="1140" t="e">
        <f t="shared" si="330"/>
        <v>#DIV/0!</v>
      </c>
      <c r="AX176" s="1044">
        <f t="shared" si="402"/>
        <v>0</v>
      </c>
      <c r="AY176" s="1044">
        <f t="shared" si="402"/>
        <v>14843975.860000014</v>
      </c>
      <c r="AZ176" s="1044">
        <f t="shared" si="402"/>
        <v>0</v>
      </c>
      <c r="BA176" s="1044">
        <f t="shared" si="402"/>
        <v>0</v>
      </c>
      <c r="BB176" s="1107"/>
      <c r="BC176" s="1107"/>
      <c r="BD176" s="1107"/>
      <c r="BE176" s="1107"/>
      <c r="BF176" s="1190" t="e">
        <f t="shared" si="340"/>
        <v>#DIV/0!</v>
      </c>
      <c r="BG176" s="1190">
        <f t="shared" si="340"/>
        <v>0</v>
      </c>
      <c r="BH176" s="1190" t="e">
        <f t="shared" si="340"/>
        <v>#DIV/0!</v>
      </c>
      <c r="BI176" s="1190" t="e">
        <f t="shared" si="332"/>
        <v>#DIV/0!</v>
      </c>
      <c r="BJ176" s="1107">
        <f t="shared" si="367"/>
        <v>528000000</v>
      </c>
      <c r="BK176" s="1110">
        <f t="shared" si="368"/>
        <v>235740000</v>
      </c>
      <c r="BL176" s="1111">
        <f t="shared" si="365"/>
        <v>0.44647727272727272</v>
      </c>
      <c r="BM176" s="1110">
        <f t="shared" si="366"/>
        <v>220896024.13999999</v>
      </c>
      <c r="BN176" s="1112">
        <f t="shared" si="347"/>
        <v>0.4183636820833333</v>
      </c>
      <c r="BO176" s="1113"/>
      <c r="BP176" s="1435" t="s">
        <v>2449</v>
      </c>
      <c r="BQ176" s="1436" t="s">
        <v>2534</v>
      </c>
      <c r="BR176" s="1437" t="s">
        <v>2535</v>
      </c>
    </row>
    <row r="177" spans="1:70" ht="12.75" customHeight="1">
      <c r="A177" s="1995" t="s">
        <v>2590</v>
      </c>
      <c r="B177" s="1995"/>
      <c r="C177" s="1996"/>
      <c r="D177" s="1996"/>
      <c r="E177" s="1997"/>
      <c r="F177" s="1997"/>
      <c r="G177" s="1997"/>
      <c r="H177" s="1997"/>
      <c r="I177" s="1997"/>
      <c r="J177" s="1997"/>
      <c r="K177" s="1997"/>
      <c r="L177" s="1997"/>
      <c r="M177" s="1997"/>
      <c r="N177" s="1997"/>
      <c r="O177" s="1997"/>
      <c r="P177" s="1998">
        <f>+(P178*Z178)</f>
        <v>1</v>
      </c>
      <c r="Q177" s="1998">
        <f>+(Q178*AA178)</f>
        <v>1</v>
      </c>
      <c r="R177" s="1999" t="e">
        <f>+(R178*AB178)</f>
        <v>#DIV/0!</v>
      </c>
      <c r="S177" s="1999" t="e">
        <f>+(S178*AC178)</f>
        <v>#DIV/0!</v>
      </c>
      <c r="T177" s="2000"/>
      <c r="U177" s="1995"/>
      <c r="V177" s="2001"/>
      <c r="W177" s="2002"/>
      <c r="X177" s="1998">
        <f>+(X178*Y178)</f>
        <v>0.6875</v>
      </c>
      <c r="Y177" s="2003">
        <v>0.05</v>
      </c>
      <c r="Z177" s="2003">
        <v>7.4999999999999997E-2</v>
      </c>
      <c r="AA177" s="2003">
        <v>0.05</v>
      </c>
      <c r="AB177" s="2003">
        <v>0.05</v>
      </c>
      <c r="AC177" s="2003">
        <v>0.05</v>
      </c>
      <c r="AD177" s="1996">
        <f>+AD178</f>
        <v>189000000</v>
      </c>
      <c r="AE177" s="1996">
        <f>+AE178</f>
        <v>650700000</v>
      </c>
      <c r="AF177" s="1996">
        <f t="shared" ref="AF177:AK177" si="403">+AF178</f>
        <v>336500000</v>
      </c>
      <c r="AG177" s="1996">
        <f t="shared" si="403"/>
        <v>350000000</v>
      </c>
      <c r="AH177" s="1996">
        <f t="shared" si="403"/>
        <v>189000000</v>
      </c>
      <c r="AI177" s="1996">
        <f t="shared" si="403"/>
        <v>650700000</v>
      </c>
      <c r="AJ177" s="1996">
        <f t="shared" si="403"/>
        <v>0</v>
      </c>
      <c r="AK177" s="1996">
        <f t="shared" si="403"/>
        <v>0</v>
      </c>
      <c r="AL177" s="2004">
        <f t="shared" si="337"/>
        <v>1</v>
      </c>
      <c r="AM177" s="2004">
        <f t="shared" si="337"/>
        <v>1</v>
      </c>
      <c r="AN177" s="2004">
        <f t="shared" si="337"/>
        <v>0</v>
      </c>
      <c r="AO177" s="2004">
        <f t="shared" si="337"/>
        <v>0</v>
      </c>
      <c r="AP177" s="1996">
        <f t="shared" ref="AP177:AS177" si="404">+AP178</f>
        <v>56000000</v>
      </c>
      <c r="AQ177" s="1996">
        <f t="shared" si="404"/>
        <v>640331973.54999995</v>
      </c>
      <c r="AR177" s="1996">
        <f t="shared" si="404"/>
        <v>0</v>
      </c>
      <c r="AS177" s="1996">
        <f t="shared" si="404"/>
        <v>0</v>
      </c>
      <c r="AT177" s="2004">
        <f t="shared" si="338"/>
        <v>0.29629629629629628</v>
      </c>
      <c r="AU177" s="2004">
        <f t="shared" si="338"/>
        <v>0.98406634939296134</v>
      </c>
      <c r="AV177" s="2004">
        <f t="shared" si="338"/>
        <v>0</v>
      </c>
      <c r="AW177" s="2004">
        <f t="shared" si="330"/>
        <v>0</v>
      </c>
      <c r="AX177" s="1996">
        <f t="shared" ref="AX177:BE177" si="405">+AX178</f>
        <v>133000000</v>
      </c>
      <c r="AY177" s="1996">
        <f t="shared" si="405"/>
        <v>10368026.450000003</v>
      </c>
      <c r="AZ177" s="1996">
        <f t="shared" si="405"/>
        <v>0</v>
      </c>
      <c r="BA177" s="1996">
        <f t="shared" si="405"/>
        <v>0</v>
      </c>
      <c r="BB177" s="1996">
        <f t="shared" si="405"/>
        <v>0</v>
      </c>
      <c r="BC177" s="1996">
        <f t="shared" si="405"/>
        <v>0</v>
      </c>
      <c r="BD177" s="1996">
        <f t="shared" si="405"/>
        <v>0</v>
      </c>
      <c r="BE177" s="1996">
        <f t="shared" si="405"/>
        <v>0</v>
      </c>
      <c r="BF177" s="2003">
        <f t="shared" si="340"/>
        <v>0</v>
      </c>
      <c r="BG177" s="2003">
        <f t="shared" si="340"/>
        <v>0</v>
      </c>
      <c r="BH177" s="2003" t="e">
        <f t="shared" si="340"/>
        <v>#DIV/0!</v>
      </c>
      <c r="BI177" s="2003" t="e">
        <f t="shared" si="332"/>
        <v>#DIV/0!</v>
      </c>
      <c r="BJ177" s="1996">
        <f t="shared" si="367"/>
        <v>1526200000</v>
      </c>
      <c r="BK177" s="2005">
        <f t="shared" si="368"/>
        <v>839700000</v>
      </c>
      <c r="BL177" s="2006">
        <f t="shared" si="365"/>
        <v>0.55019001441488669</v>
      </c>
      <c r="BM177" s="2005">
        <f t="shared" si="366"/>
        <v>696331973.54999995</v>
      </c>
      <c r="BN177" s="2007">
        <f t="shared" si="347"/>
        <v>0.45625211214126588</v>
      </c>
      <c r="BO177" s="1996"/>
      <c r="BP177" s="2008"/>
      <c r="BQ177" s="2008"/>
      <c r="BR177" s="2019"/>
    </row>
    <row r="178" spans="1:70" ht="12.75" customHeight="1" thickBot="1">
      <c r="A178" s="1941" t="s">
        <v>2591</v>
      </c>
      <c r="B178" s="1941"/>
      <c r="C178" s="1942"/>
      <c r="D178" s="1942"/>
      <c r="E178" s="1943"/>
      <c r="F178" s="1943"/>
      <c r="G178" s="1943"/>
      <c r="H178" s="1943"/>
      <c r="I178" s="1943"/>
      <c r="J178" s="1943"/>
      <c r="K178" s="1943"/>
      <c r="L178" s="1943"/>
      <c r="M178" s="1943"/>
      <c r="N178" s="1943"/>
      <c r="O178" s="1943"/>
      <c r="P178" s="1944">
        <f>+SUMPRODUCT(P179:P182,Z179:Z182)</f>
        <v>1</v>
      </c>
      <c r="Q178" s="1945">
        <f>+SUMPRODUCT(Q179:Q182,AA179:AA182)</f>
        <v>1</v>
      </c>
      <c r="R178" s="1946" t="e">
        <f>+SUMPRODUCT(R179:R182,AB179:AB182)</f>
        <v>#DIV/0!</v>
      </c>
      <c r="S178" s="1946" t="e">
        <f>+SUMPRODUCT(S179:S182,AC179:AC182)</f>
        <v>#DIV/0!</v>
      </c>
      <c r="T178" s="1947"/>
      <c r="U178" s="1941"/>
      <c r="V178" s="1948"/>
      <c r="W178" s="1949"/>
      <c r="X178" s="1944">
        <f>+SUMPRODUCT(X179:X182,Y179:Y182)</f>
        <v>0.6875</v>
      </c>
      <c r="Y178" s="1945">
        <v>1</v>
      </c>
      <c r="Z178" s="1945">
        <v>1</v>
      </c>
      <c r="AA178" s="1945">
        <v>1</v>
      </c>
      <c r="AB178" s="1945">
        <v>1</v>
      </c>
      <c r="AC178" s="1945">
        <v>1</v>
      </c>
      <c r="AD178" s="1942">
        <f>SUM(AD179:AD182)</f>
        <v>189000000</v>
      </c>
      <c r="AE178" s="1942">
        <f>SUM(AE179:AE182)</f>
        <v>650700000</v>
      </c>
      <c r="AF178" s="1942">
        <f t="shared" ref="AF178:AK178" si="406">SUM(AF179:AF182)</f>
        <v>336500000</v>
      </c>
      <c r="AG178" s="1942">
        <f t="shared" si="406"/>
        <v>350000000</v>
      </c>
      <c r="AH178" s="1942">
        <f t="shared" si="406"/>
        <v>189000000</v>
      </c>
      <c r="AI178" s="1942">
        <f t="shared" si="406"/>
        <v>650700000</v>
      </c>
      <c r="AJ178" s="1942">
        <f t="shared" si="406"/>
        <v>0</v>
      </c>
      <c r="AK178" s="1942">
        <f t="shared" si="406"/>
        <v>0</v>
      </c>
      <c r="AL178" s="1950">
        <f t="shared" si="337"/>
        <v>1</v>
      </c>
      <c r="AM178" s="1950">
        <f t="shared" si="337"/>
        <v>1</v>
      </c>
      <c r="AN178" s="1950">
        <f t="shared" si="337"/>
        <v>0</v>
      </c>
      <c r="AO178" s="1950">
        <f t="shared" si="337"/>
        <v>0</v>
      </c>
      <c r="AP178" s="1942">
        <f t="shared" ref="AP178:AS178" si="407">SUM(AP179:AP182)</f>
        <v>56000000</v>
      </c>
      <c r="AQ178" s="1942">
        <f t="shared" si="407"/>
        <v>640331973.54999995</v>
      </c>
      <c r="AR178" s="1942">
        <f t="shared" si="407"/>
        <v>0</v>
      </c>
      <c r="AS178" s="1942">
        <f t="shared" si="407"/>
        <v>0</v>
      </c>
      <c r="AT178" s="1950">
        <f t="shared" si="338"/>
        <v>0.29629629629629628</v>
      </c>
      <c r="AU178" s="1950">
        <f t="shared" si="338"/>
        <v>0.98406634939296134</v>
      </c>
      <c r="AV178" s="1950">
        <f t="shared" si="338"/>
        <v>0</v>
      </c>
      <c r="AW178" s="1950">
        <f t="shared" si="330"/>
        <v>0</v>
      </c>
      <c r="AX178" s="1942">
        <f t="shared" ref="AX178:BE178" si="408">SUM(AX179:AX182)</f>
        <v>133000000</v>
      </c>
      <c r="AY178" s="1942">
        <f t="shared" si="408"/>
        <v>10368026.450000003</v>
      </c>
      <c r="AZ178" s="1942">
        <f t="shared" si="408"/>
        <v>0</v>
      </c>
      <c r="BA178" s="1942">
        <f t="shared" si="408"/>
        <v>0</v>
      </c>
      <c r="BB178" s="1942">
        <f t="shared" si="408"/>
        <v>0</v>
      </c>
      <c r="BC178" s="1942">
        <f t="shared" si="408"/>
        <v>0</v>
      </c>
      <c r="BD178" s="1942">
        <f t="shared" si="408"/>
        <v>0</v>
      </c>
      <c r="BE178" s="1942">
        <f t="shared" si="408"/>
        <v>0</v>
      </c>
      <c r="BF178" s="1945">
        <f t="shared" si="340"/>
        <v>0</v>
      </c>
      <c r="BG178" s="1945">
        <f t="shared" si="340"/>
        <v>0</v>
      </c>
      <c r="BH178" s="1945" t="e">
        <f t="shared" si="340"/>
        <v>#DIV/0!</v>
      </c>
      <c r="BI178" s="1945" t="e">
        <f t="shared" si="332"/>
        <v>#DIV/0!</v>
      </c>
      <c r="BJ178" s="1942">
        <f t="shared" si="367"/>
        <v>1526200000</v>
      </c>
      <c r="BK178" s="1951">
        <f t="shared" si="368"/>
        <v>839700000</v>
      </c>
      <c r="BL178" s="1952">
        <f t="shared" si="365"/>
        <v>0.55019001441488669</v>
      </c>
      <c r="BM178" s="1951">
        <f t="shared" si="366"/>
        <v>696331973.54999995</v>
      </c>
      <c r="BN178" s="1953">
        <f t="shared" si="347"/>
        <v>0.45625211214126588</v>
      </c>
      <c r="BO178" s="1942"/>
      <c r="BP178" s="2026"/>
      <c r="BQ178" s="1954"/>
      <c r="BR178" s="2027"/>
    </row>
    <row r="179" spans="1:70" ht="12.75" customHeight="1" thickBot="1">
      <c r="A179" s="1987" t="s">
        <v>2592</v>
      </c>
      <c r="B179" s="1988" t="s">
        <v>2593</v>
      </c>
      <c r="C179" s="1025" t="s">
        <v>2181</v>
      </c>
      <c r="D179" s="1989">
        <v>1</v>
      </c>
      <c r="E179" s="1990">
        <v>1</v>
      </c>
      <c r="F179" s="1990">
        <v>1</v>
      </c>
      <c r="G179" s="1991">
        <v>1</v>
      </c>
      <c r="H179" s="1627">
        <v>1</v>
      </c>
      <c r="I179" s="1030">
        <v>2</v>
      </c>
      <c r="J179" s="1030"/>
      <c r="K179" s="1030"/>
      <c r="L179" s="1030"/>
      <c r="M179" s="1031"/>
      <c r="N179" s="1031"/>
      <c r="O179" s="1031"/>
      <c r="P179" s="1032">
        <f t="shared" ref="P179:S182" si="409">IF((H179+L179)/D179&gt;=100%,100%,(H179+L179)/D179)</f>
        <v>1</v>
      </c>
      <c r="Q179" s="1032">
        <f t="shared" si="409"/>
        <v>1</v>
      </c>
      <c r="R179" s="1032">
        <f t="shared" si="409"/>
        <v>0</v>
      </c>
      <c r="S179" s="1032">
        <f t="shared" si="409"/>
        <v>0</v>
      </c>
      <c r="T179" s="1702" t="s">
        <v>2594</v>
      </c>
      <c r="U179" s="1034">
        <v>46022</v>
      </c>
      <c r="V179" s="1035">
        <f t="shared" ref="V179:V182" si="410">SUM(D179:G179)</f>
        <v>4</v>
      </c>
      <c r="W179" s="1035">
        <f t="shared" ref="W179:W182" si="411">SUM(H179:N179)</f>
        <v>3</v>
      </c>
      <c r="X179" s="1279">
        <f t="shared" ref="X179:X242" si="412">IF(W179/V179&gt;=100%,100%,W179/V179)</f>
        <v>0.75</v>
      </c>
      <c r="Y179" s="1037">
        <v>0.25</v>
      </c>
      <c r="Z179" s="1037">
        <v>0.3</v>
      </c>
      <c r="AA179" s="1037">
        <v>0.25</v>
      </c>
      <c r="AB179" s="1037">
        <v>0.25</v>
      </c>
      <c r="AC179" s="1037">
        <v>0.25</v>
      </c>
      <c r="AD179" s="1137">
        <v>66500000</v>
      </c>
      <c r="AE179" s="1137">
        <v>97200000</v>
      </c>
      <c r="AF179" s="1137">
        <v>114000000</v>
      </c>
      <c r="AG179" s="1137">
        <v>120000000</v>
      </c>
      <c r="AH179" s="1137">
        <v>66500000</v>
      </c>
      <c r="AI179" s="1137">
        <v>97200000</v>
      </c>
      <c r="AJ179" s="1137"/>
      <c r="AK179" s="1137"/>
      <c r="AL179" s="1048">
        <f t="shared" si="337"/>
        <v>1</v>
      </c>
      <c r="AM179" s="1048">
        <f t="shared" si="337"/>
        <v>1</v>
      </c>
      <c r="AN179" s="1048">
        <f t="shared" si="337"/>
        <v>0</v>
      </c>
      <c r="AO179" s="1048">
        <f t="shared" si="337"/>
        <v>0</v>
      </c>
      <c r="AP179" s="1283">
        <v>0</v>
      </c>
      <c r="AQ179" s="1041">
        <v>95733532.439999998</v>
      </c>
      <c r="AR179" s="1552"/>
      <c r="AS179" s="1042"/>
      <c r="AT179" s="1043">
        <f t="shared" si="338"/>
        <v>0</v>
      </c>
      <c r="AU179" s="1043">
        <f t="shared" si="338"/>
        <v>0.98491288518518516</v>
      </c>
      <c r="AV179" s="1043">
        <f t="shared" si="338"/>
        <v>0</v>
      </c>
      <c r="AW179" s="1043">
        <f t="shared" si="330"/>
        <v>0</v>
      </c>
      <c r="AX179" s="1044">
        <f t="shared" ref="AX179:BA182" si="413">+AH179-AP179</f>
        <v>66500000</v>
      </c>
      <c r="AY179" s="1044">
        <f t="shared" si="413"/>
        <v>1466467.5600000024</v>
      </c>
      <c r="AZ179" s="1044">
        <f t="shared" si="413"/>
        <v>0</v>
      </c>
      <c r="BA179" s="1044">
        <f t="shared" si="413"/>
        <v>0</v>
      </c>
      <c r="BB179" s="1283"/>
      <c r="BC179" s="1283"/>
      <c r="BD179" s="1283"/>
      <c r="BE179" s="1283"/>
      <c r="BF179" s="1045">
        <f t="shared" si="340"/>
        <v>0</v>
      </c>
      <c r="BG179" s="1045">
        <f t="shared" si="340"/>
        <v>0</v>
      </c>
      <c r="BH179" s="1045" t="e">
        <f t="shared" si="340"/>
        <v>#DIV/0!</v>
      </c>
      <c r="BI179" s="1045" t="e">
        <f t="shared" si="332"/>
        <v>#DIV/0!</v>
      </c>
      <c r="BJ179" s="1283">
        <f t="shared" si="367"/>
        <v>397700000</v>
      </c>
      <c r="BK179" s="1046">
        <f t="shared" si="368"/>
        <v>163700000</v>
      </c>
      <c r="BL179" s="1047">
        <f t="shared" si="365"/>
        <v>0.41161679658033695</v>
      </c>
      <c r="BM179" s="1046">
        <f t="shared" si="366"/>
        <v>95733532.439999998</v>
      </c>
      <c r="BN179" s="1048">
        <f t="shared" si="347"/>
        <v>0.24071795936635654</v>
      </c>
      <c r="BO179" s="1049"/>
      <c r="BP179" s="1409" t="s">
        <v>2449</v>
      </c>
      <c r="BQ179" s="1531" t="s">
        <v>2595</v>
      </c>
      <c r="BR179" s="1469" t="s">
        <v>2535</v>
      </c>
    </row>
    <row r="180" spans="1:70" ht="12.75" customHeight="1" thickBot="1">
      <c r="A180" s="1963" t="s">
        <v>2596</v>
      </c>
      <c r="B180" s="1960" t="s">
        <v>2597</v>
      </c>
      <c r="C180" s="1055" t="s">
        <v>2181</v>
      </c>
      <c r="D180" s="2025">
        <v>1</v>
      </c>
      <c r="E180" s="2028">
        <v>1</v>
      </c>
      <c r="F180" s="2028">
        <v>1</v>
      </c>
      <c r="G180" s="2029">
        <v>1</v>
      </c>
      <c r="H180" s="1659">
        <v>1</v>
      </c>
      <c r="I180" s="1060">
        <v>1</v>
      </c>
      <c r="J180" s="1060"/>
      <c r="K180" s="1060"/>
      <c r="L180" s="1060"/>
      <c r="M180" s="1061"/>
      <c r="N180" s="1061"/>
      <c r="O180" s="1061"/>
      <c r="P180" s="1062">
        <f t="shared" si="409"/>
        <v>1</v>
      </c>
      <c r="Q180" s="1062">
        <f t="shared" si="409"/>
        <v>1</v>
      </c>
      <c r="R180" s="1062">
        <f t="shared" si="409"/>
        <v>0</v>
      </c>
      <c r="S180" s="1062">
        <f t="shared" si="409"/>
        <v>0</v>
      </c>
      <c r="T180" s="1669" t="s">
        <v>2598</v>
      </c>
      <c r="U180" s="1034">
        <v>46022</v>
      </c>
      <c r="V180" s="1035">
        <f t="shared" si="410"/>
        <v>4</v>
      </c>
      <c r="W180" s="1035">
        <f t="shared" si="411"/>
        <v>2</v>
      </c>
      <c r="X180" s="1327">
        <f t="shared" si="412"/>
        <v>0.5</v>
      </c>
      <c r="Y180" s="1065">
        <v>0.3</v>
      </c>
      <c r="Z180" s="1065">
        <v>0.4</v>
      </c>
      <c r="AA180" s="1065">
        <v>0.3</v>
      </c>
      <c r="AB180" s="1065">
        <v>0.3</v>
      </c>
      <c r="AC180" s="1065">
        <v>0.3</v>
      </c>
      <c r="AD180" s="1066">
        <v>66500000</v>
      </c>
      <c r="AE180" s="1066">
        <v>121500000</v>
      </c>
      <c r="AF180" s="1066">
        <v>142500000</v>
      </c>
      <c r="AG180" s="1066">
        <v>150000000</v>
      </c>
      <c r="AH180" s="1066">
        <v>66500000</v>
      </c>
      <c r="AI180" s="1066">
        <v>121500000</v>
      </c>
      <c r="AJ180" s="1066"/>
      <c r="AK180" s="1066"/>
      <c r="AL180" s="1074">
        <f t="shared" si="337"/>
        <v>1</v>
      </c>
      <c r="AM180" s="1074">
        <f t="shared" si="337"/>
        <v>1</v>
      </c>
      <c r="AN180" s="1074">
        <f t="shared" si="337"/>
        <v>0</v>
      </c>
      <c r="AO180" s="1074">
        <f t="shared" si="337"/>
        <v>0</v>
      </c>
      <c r="AP180" s="1070">
        <v>0</v>
      </c>
      <c r="AQ180" s="1068">
        <v>119776914.56999999</v>
      </c>
      <c r="AR180" s="1560"/>
      <c r="AS180" s="1069"/>
      <c r="AT180" s="1140">
        <f t="shared" si="338"/>
        <v>0</v>
      </c>
      <c r="AU180" s="1140">
        <f t="shared" si="338"/>
        <v>0.98581822691358023</v>
      </c>
      <c r="AV180" s="1140">
        <f t="shared" si="338"/>
        <v>0</v>
      </c>
      <c r="AW180" s="1140">
        <f t="shared" si="330"/>
        <v>0</v>
      </c>
      <c r="AX180" s="1044">
        <f t="shared" si="413"/>
        <v>66500000</v>
      </c>
      <c r="AY180" s="1044">
        <f t="shared" si="413"/>
        <v>1723085.4300000072</v>
      </c>
      <c r="AZ180" s="1044">
        <f t="shared" si="413"/>
        <v>0</v>
      </c>
      <c r="BA180" s="1044">
        <f t="shared" si="413"/>
        <v>0</v>
      </c>
      <c r="BB180" s="1070"/>
      <c r="BC180" s="1070"/>
      <c r="BD180" s="1070"/>
      <c r="BE180" s="1070"/>
      <c r="BF180" s="1071">
        <f t="shared" si="340"/>
        <v>0</v>
      </c>
      <c r="BG180" s="1071">
        <f t="shared" si="340"/>
        <v>0</v>
      </c>
      <c r="BH180" s="1071" t="e">
        <f t="shared" si="340"/>
        <v>#DIV/0!</v>
      </c>
      <c r="BI180" s="1071" t="e">
        <f t="shared" si="332"/>
        <v>#DIV/0!</v>
      </c>
      <c r="BJ180" s="1070">
        <f t="shared" si="367"/>
        <v>480500000</v>
      </c>
      <c r="BK180" s="1072">
        <f t="shared" si="368"/>
        <v>188000000</v>
      </c>
      <c r="BL180" s="1073">
        <f t="shared" si="365"/>
        <v>0.39125910509885536</v>
      </c>
      <c r="BM180" s="1072">
        <f t="shared" si="366"/>
        <v>119776914.56999999</v>
      </c>
      <c r="BN180" s="1074">
        <f t="shared" si="347"/>
        <v>0.24927557662851196</v>
      </c>
      <c r="BO180" s="1075"/>
      <c r="BP180" s="1321" t="s">
        <v>2449</v>
      </c>
      <c r="BQ180" s="1531" t="s">
        <v>2595</v>
      </c>
      <c r="BR180" s="1469" t="s">
        <v>2535</v>
      </c>
    </row>
    <row r="181" spans="1:70" ht="12.75" customHeight="1" thickBot="1">
      <c r="A181" s="1963" t="s">
        <v>2599</v>
      </c>
      <c r="B181" s="1960" t="s">
        <v>2600</v>
      </c>
      <c r="C181" s="1055" t="s">
        <v>2181</v>
      </c>
      <c r="D181" s="2025">
        <v>0</v>
      </c>
      <c r="E181" s="2028">
        <v>1</v>
      </c>
      <c r="F181" s="2028">
        <v>0</v>
      </c>
      <c r="G181" s="2029">
        <v>0</v>
      </c>
      <c r="H181" s="1659"/>
      <c r="I181" s="1060">
        <v>1</v>
      </c>
      <c r="J181" s="1060"/>
      <c r="K181" s="1060"/>
      <c r="L181" s="1060"/>
      <c r="M181" s="1061"/>
      <c r="N181" s="1061"/>
      <c r="O181" s="1061"/>
      <c r="P181" s="1062"/>
      <c r="Q181" s="1062">
        <f t="shared" si="409"/>
        <v>1</v>
      </c>
      <c r="R181" s="1062" t="e">
        <f t="shared" si="409"/>
        <v>#DIV/0!</v>
      </c>
      <c r="S181" s="1062" t="e">
        <f t="shared" si="409"/>
        <v>#DIV/0!</v>
      </c>
      <c r="T181" s="1136" t="s">
        <v>2601</v>
      </c>
      <c r="U181" s="1034">
        <v>46022</v>
      </c>
      <c r="V181" s="1035">
        <f t="shared" si="410"/>
        <v>1</v>
      </c>
      <c r="W181" s="1035">
        <f t="shared" si="411"/>
        <v>1</v>
      </c>
      <c r="X181" s="1327">
        <f t="shared" si="412"/>
        <v>1</v>
      </c>
      <c r="Y181" s="1065">
        <v>0.25</v>
      </c>
      <c r="Z181" s="1065">
        <v>0</v>
      </c>
      <c r="AA181" s="1065">
        <v>0.25</v>
      </c>
      <c r="AB181" s="1065">
        <v>0.25</v>
      </c>
      <c r="AC181" s="1065">
        <v>0.25</v>
      </c>
      <c r="AD181" s="1066"/>
      <c r="AE181" s="1066">
        <v>360000000</v>
      </c>
      <c r="AF181" s="1066">
        <v>0</v>
      </c>
      <c r="AG181" s="1066">
        <v>0</v>
      </c>
      <c r="AH181" s="1066"/>
      <c r="AI181" s="1066">
        <v>360000000</v>
      </c>
      <c r="AJ181" s="1066"/>
      <c r="AK181" s="1066"/>
      <c r="AL181" s="1112" t="e">
        <f t="shared" si="337"/>
        <v>#DIV/0!</v>
      </c>
      <c r="AM181" s="1112">
        <f t="shared" si="337"/>
        <v>1</v>
      </c>
      <c r="AN181" s="1112" t="e">
        <f t="shared" si="337"/>
        <v>#DIV/0!</v>
      </c>
      <c r="AO181" s="1112" t="e">
        <f t="shared" si="337"/>
        <v>#DIV/0!</v>
      </c>
      <c r="AP181" s="1070"/>
      <c r="AQ181" s="1068">
        <v>354543949.5</v>
      </c>
      <c r="AR181" s="1560"/>
      <c r="AS181" s="1069"/>
      <c r="AT181" s="1140" t="e">
        <f t="shared" si="338"/>
        <v>#DIV/0!</v>
      </c>
      <c r="AU181" s="1140">
        <f t="shared" si="338"/>
        <v>0.98484430416666668</v>
      </c>
      <c r="AV181" s="1140" t="e">
        <f t="shared" si="338"/>
        <v>#DIV/0!</v>
      </c>
      <c r="AW181" s="1140" t="e">
        <f t="shared" si="330"/>
        <v>#DIV/0!</v>
      </c>
      <c r="AX181" s="1044">
        <f t="shared" si="413"/>
        <v>0</v>
      </c>
      <c r="AY181" s="1044">
        <f t="shared" si="413"/>
        <v>5456050.5</v>
      </c>
      <c r="AZ181" s="1044">
        <f t="shared" si="413"/>
        <v>0</v>
      </c>
      <c r="BA181" s="1044">
        <f t="shared" si="413"/>
        <v>0</v>
      </c>
      <c r="BB181" s="1070"/>
      <c r="BC181" s="1070"/>
      <c r="BD181" s="1070"/>
      <c r="BE181" s="1070"/>
      <c r="BF181" s="1071" t="e">
        <f t="shared" si="340"/>
        <v>#DIV/0!</v>
      </c>
      <c r="BG181" s="1071">
        <f t="shared" si="340"/>
        <v>0</v>
      </c>
      <c r="BH181" s="1071" t="e">
        <f t="shared" si="340"/>
        <v>#DIV/0!</v>
      </c>
      <c r="BI181" s="1071" t="e">
        <f t="shared" si="332"/>
        <v>#DIV/0!</v>
      </c>
      <c r="BJ181" s="1070">
        <f t="shared" si="367"/>
        <v>360000000</v>
      </c>
      <c r="BK181" s="1072">
        <f t="shared" si="368"/>
        <v>360000000</v>
      </c>
      <c r="BL181" s="1073">
        <f t="shared" si="365"/>
        <v>1</v>
      </c>
      <c r="BM181" s="1072">
        <f t="shared" si="366"/>
        <v>354543949.5</v>
      </c>
      <c r="BN181" s="1074">
        <f t="shared" si="347"/>
        <v>0.98484430416666668</v>
      </c>
      <c r="BO181" s="1075"/>
      <c r="BP181" s="1512" t="s">
        <v>2449</v>
      </c>
      <c r="BQ181" s="1531" t="s">
        <v>2595</v>
      </c>
      <c r="BR181" s="1421" t="s">
        <v>2535</v>
      </c>
    </row>
    <row r="182" spans="1:70" ht="12.75" customHeight="1" thickBot="1">
      <c r="A182" s="1967" t="s">
        <v>2602</v>
      </c>
      <c r="B182" s="1992" t="s">
        <v>2603</v>
      </c>
      <c r="C182" s="1152" t="s">
        <v>2181</v>
      </c>
      <c r="D182" s="1993">
        <v>1</v>
      </c>
      <c r="E182" s="1970">
        <v>1</v>
      </c>
      <c r="F182" s="1970">
        <v>1</v>
      </c>
      <c r="G182" s="1971">
        <v>1</v>
      </c>
      <c r="H182" s="1634">
        <v>1</v>
      </c>
      <c r="I182" s="1182">
        <v>1</v>
      </c>
      <c r="J182" s="1182"/>
      <c r="K182" s="1182"/>
      <c r="L182" s="1182"/>
      <c r="M182" s="1101"/>
      <c r="N182" s="1101"/>
      <c r="O182" s="1101"/>
      <c r="P182" s="1102">
        <f t="shared" si="409"/>
        <v>1</v>
      </c>
      <c r="Q182" s="1102">
        <f t="shared" si="409"/>
        <v>1</v>
      </c>
      <c r="R182" s="1102">
        <f t="shared" si="409"/>
        <v>0</v>
      </c>
      <c r="S182" s="1102">
        <f t="shared" si="409"/>
        <v>0</v>
      </c>
      <c r="T182" s="1686" t="s">
        <v>2604</v>
      </c>
      <c r="U182" s="1034">
        <v>46022</v>
      </c>
      <c r="V182" s="1035">
        <f t="shared" si="410"/>
        <v>4</v>
      </c>
      <c r="W182" s="1035">
        <f t="shared" si="411"/>
        <v>2</v>
      </c>
      <c r="X182" s="1291">
        <f t="shared" si="412"/>
        <v>0.5</v>
      </c>
      <c r="Y182" s="1104">
        <v>0.2</v>
      </c>
      <c r="Z182" s="1104">
        <v>0.3</v>
      </c>
      <c r="AA182" s="1104">
        <v>0.2</v>
      </c>
      <c r="AB182" s="1104">
        <v>0.2</v>
      </c>
      <c r="AC182" s="1104">
        <v>0.2</v>
      </c>
      <c r="AD182" s="1106">
        <v>56000000</v>
      </c>
      <c r="AE182" s="1106">
        <v>72000000</v>
      </c>
      <c r="AF182" s="1106">
        <v>80000000</v>
      </c>
      <c r="AG182" s="1106">
        <v>80000000</v>
      </c>
      <c r="AH182" s="1106">
        <v>56000000</v>
      </c>
      <c r="AI182" s="1106">
        <v>72000000</v>
      </c>
      <c r="AJ182" s="1106"/>
      <c r="AK182" s="1106"/>
      <c r="AL182" s="1112">
        <f t="shared" si="337"/>
        <v>1</v>
      </c>
      <c r="AM182" s="1112">
        <f t="shared" si="337"/>
        <v>1</v>
      </c>
      <c r="AN182" s="1112">
        <f t="shared" si="337"/>
        <v>0</v>
      </c>
      <c r="AO182" s="1112">
        <f t="shared" si="337"/>
        <v>0</v>
      </c>
      <c r="AP182" s="1107">
        <v>56000000</v>
      </c>
      <c r="AQ182" s="1187">
        <v>70277577.040000007</v>
      </c>
      <c r="AR182" s="1567"/>
      <c r="AS182" s="1188"/>
      <c r="AT182" s="1189">
        <f t="shared" si="338"/>
        <v>1</v>
      </c>
      <c r="AU182" s="1189">
        <f t="shared" si="338"/>
        <v>0.97607745888888897</v>
      </c>
      <c r="AV182" s="1189">
        <f t="shared" si="338"/>
        <v>0</v>
      </c>
      <c r="AW182" s="1189">
        <f t="shared" si="330"/>
        <v>0</v>
      </c>
      <c r="AX182" s="1044">
        <f t="shared" si="413"/>
        <v>0</v>
      </c>
      <c r="AY182" s="1044">
        <f t="shared" si="413"/>
        <v>1722422.9599999934</v>
      </c>
      <c r="AZ182" s="1044">
        <f t="shared" si="413"/>
        <v>0</v>
      </c>
      <c r="BA182" s="1044">
        <f t="shared" si="413"/>
        <v>0</v>
      </c>
      <c r="BB182" s="1107"/>
      <c r="BC182" s="1107"/>
      <c r="BD182" s="1107"/>
      <c r="BE182" s="1107"/>
      <c r="BF182" s="1190" t="e">
        <f t="shared" si="340"/>
        <v>#DIV/0!</v>
      </c>
      <c r="BG182" s="1190">
        <f t="shared" si="340"/>
        <v>0</v>
      </c>
      <c r="BH182" s="1190" t="e">
        <f t="shared" si="340"/>
        <v>#DIV/0!</v>
      </c>
      <c r="BI182" s="1190" t="e">
        <f t="shared" si="332"/>
        <v>#DIV/0!</v>
      </c>
      <c r="BJ182" s="1107">
        <f t="shared" si="367"/>
        <v>288000000</v>
      </c>
      <c r="BK182" s="1110">
        <f t="shared" si="368"/>
        <v>128000000</v>
      </c>
      <c r="BL182" s="1111">
        <f t="shared" si="365"/>
        <v>0.44444444444444442</v>
      </c>
      <c r="BM182" s="1110">
        <f t="shared" si="366"/>
        <v>126277577.04000001</v>
      </c>
      <c r="BN182" s="1112">
        <f t="shared" si="347"/>
        <v>0.43846380916666666</v>
      </c>
      <c r="BO182" s="1113"/>
      <c r="BP182" s="1435" t="s">
        <v>2533</v>
      </c>
      <c r="BQ182" s="1436" t="s">
        <v>2595</v>
      </c>
      <c r="BR182" s="1437" t="s">
        <v>2535</v>
      </c>
    </row>
    <row r="183" spans="1:70" ht="12.75" customHeight="1">
      <c r="A183" s="1995" t="s">
        <v>2605</v>
      </c>
      <c r="B183" s="1995"/>
      <c r="C183" s="1996"/>
      <c r="D183" s="1996"/>
      <c r="E183" s="1997"/>
      <c r="F183" s="1997"/>
      <c r="G183" s="1997"/>
      <c r="H183" s="1997"/>
      <c r="I183" s="1997"/>
      <c r="J183" s="1997"/>
      <c r="K183" s="1997"/>
      <c r="L183" s="1997"/>
      <c r="M183" s="1997"/>
      <c r="N183" s="1997"/>
      <c r="O183" s="1997"/>
      <c r="P183" s="1998">
        <f>+(P184*Z184)+(P189*Z189)</f>
        <v>1</v>
      </c>
      <c r="Q183" s="1998">
        <f>+(Q184*AA184)+(Q189*AA189)</f>
        <v>1</v>
      </c>
      <c r="R183" s="2030">
        <f>+(R184*AB184)+(R189*AB189)</f>
        <v>0</v>
      </c>
      <c r="S183" s="2030">
        <f>+(S184*AC184)+(S189*AC189)</f>
        <v>0</v>
      </c>
      <c r="T183" s="2000"/>
      <c r="U183" s="1995"/>
      <c r="V183" s="2001"/>
      <c r="W183" s="2002">
        <f t="shared" ref="W183:W241" si="414">SUM(D183:J183)</f>
        <v>0</v>
      </c>
      <c r="X183" s="2030">
        <f>+(X184*Y184)+(X189*Y189)</f>
        <v>0.41125000000000006</v>
      </c>
      <c r="Y183" s="2003">
        <v>0.6</v>
      </c>
      <c r="Z183" s="2003">
        <v>0.6</v>
      </c>
      <c r="AA183" s="2003">
        <v>0.6</v>
      </c>
      <c r="AB183" s="2003">
        <v>0.6</v>
      </c>
      <c r="AC183" s="2003">
        <v>0.6</v>
      </c>
      <c r="AD183" s="2005">
        <f>+AD184+AD189</f>
        <v>56883198895.04644</v>
      </c>
      <c r="AE183" s="2005">
        <f>+AE184+AE189</f>
        <v>48487805028</v>
      </c>
      <c r="AF183" s="2005">
        <f t="shared" ref="AF183:AK183" si="415">+AF184+AF189</f>
        <v>53475795444.516251</v>
      </c>
      <c r="AG183" s="2005">
        <f t="shared" si="415"/>
        <v>58363512024.442062</v>
      </c>
      <c r="AH183" s="2005">
        <f t="shared" si="415"/>
        <v>52157105817.639931</v>
      </c>
      <c r="AI183" s="2005">
        <f t="shared" si="415"/>
        <v>47590826185.580002</v>
      </c>
      <c r="AJ183" s="2005">
        <f t="shared" si="415"/>
        <v>0</v>
      </c>
      <c r="AK183" s="2005">
        <f t="shared" si="415"/>
        <v>0</v>
      </c>
      <c r="AL183" s="2004">
        <f t="shared" si="337"/>
        <v>0.91691583509347829</v>
      </c>
      <c r="AM183" s="2004">
        <f t="shared" si="337"/>
        <v>0.9815009394237989</v>
      </c>
      <c r="AN183" s="2004">
        <f t="shared" si="337"/>
        <v>0</v>
      </c>
      <c r="AO183" s="2004">
        <f t="shared" si="337"/>
        <v>0</v>
      </c>
      <c r="AP183" s="2005">
        <f t="shared" ref="AP183:AS183" si="416">+AP184+AP189</f>
        <v>51849093046.487595</v>
      </c>
      <c r="AQ183" s="2005">
        <f t="shared" si="416"/>
        <v>46566761056.759995</v>
      </c>
      <c r="AR183" s="2005">
        <f t="shared" si="416"/>
        <v>0</v>
      </c>
      <c r="AS183" s="2005">
        <f t="shared" si="416"/>
        <v>0</v>
      </c>
      <c r="AT183" s="2004">
        <f t="shared" si="338"/>
        <v>0.91150100651253585</v>
      </c>
      <c r="AU183" s="2004">
        <f t="shared" si="338"/>
        <v>0.96038088401546184</v>
      </c>
      <c r="AV183" s="2004">
        <f t="shared" si="338"/>
        <v>0</v>
      </c>
      <c r="AW183" s="2004">
        <f t="shared" si="330"/>
        <v>0</v>
      </c>
      <c r="AX183" s="2005">
        <f t="shared" ref="AX183:BE183" si="417">+AX184+AX189</f>
        <v>308012771.15233397</v>
      </c>
      <c r="AY183" s="2005">
        <f t="shared" si="417"/>
        <v>1024065128.8200001</v>
      </c>
      <c r="AZ183" s="2005">
        <f t="shared" si="417"/>
        <v>0</v>
      </c>
      <c r="BA183" s="2005">
        <f t="shared" si="417"/>
        <v>0</v>
      </c>
      <c r="BB183" s="2005">
        <f t="shared" si="417"/>
        <v>0</v>
      </c>
      <c r="BC183" s="2005">
        <f t="shared" si="417"/>
        <v>0</v>
      </c>
      <c r="BD183" s="2005">
        <f t="shared" si="417"/>
        <v>0</v>
      </c>
      <c r="BE183" s="2005">
        <f t="shared" si="417"/>
        <v>0</v>
      </c>
      <c r="BF183" s="2003">
        <f t="shared" si="340"/>
        <v>0</v>
      </c>
      <c r="BG183" s="2003">
        <f t="shared" si="340"/>
        <v>0</v>
      </c>
      <c r="BH183" s="2003" t="e">
        <f t="shared" si="340"/>
        <v>#DIV/0!</v>
      </c>
      <c r="BI183" s="2003" t="e">
        <f t="shared" si="332"/>
        <v>#DIV/0!</v>
      </c>
      <c r="BJ183" s="2005">
        <f t="shared" si="367"/>
        <v>217210311392.00476</v>
      </c>
      <c r="BK183" s="2005">
        <f t="shared" si="368"/>
        <v>99747932003.21994</v>
      </c>
      <c r="BL183" s="2006">
        <f t="shared" si="365"/>
        <v>0.45922282125549008</v>
      </c>
      <c r="BM183" s="2005">
        <f t="shared" si="366"/>
        <v>98415854103.247589</v>
      </c>
      <c r="BN183" s="2007">
        <f t="shared" si="347"/>
        <v>0.45309015705812461</v>
      </c>
      <c r="BO183" s="1996"/>
      <c r="BP183" s="2008"/>
      <c r="BQ183" s="2008"/>
      <c r="BR183" s="2008"/>
    </row>
    <row r="184" spans="1:70" ht="12.75" customHeight="1" thickBot="1">
      <c r="A184" s="1941" t="s">
        <v>2606</v>
      </c>
      <c r="B184" s="1941"/>
      <c r="C184" s="1942"/>
      <c r="D184" s="1942"/>
      <c r="E184" s="1943"/>
      <c r="F184" s="1943"/>
      <c r="G184" s="1943"/>
      <c r="H184" s="1943"/>
      <c r="I184" s="1943"/>
      <c r="J184" s="1943"/>
      <c r="K184" s="1943"/>
      <c r="L184" s="1943"/>
      <c r="M184" s="1943"/>
      <c r="N184" s="1943"/>
      <c r="O184" s="1943"/>
      <c r="P184" s="1944">
        <f>+SUMPRODUCT(P185:P188,Z185:Z188)</f>
        <v>1</v>
      </c>
      <c r="Q184" s="1945">
        <f>+SUMPRODUCT(Q185:Q188,AA185:AA188)</f>
        <v>1</v>
      </c>
      <c r="R184" s="1946">
        <f>+SUMPRODUCT(R185:R188,AB185:AB188)</f>
        <v>0</v>
      </c>
      <c r="S184" s="1946">
        <f>+SUMPRODUCT(S185:S188,AC185:AC188)</f>
        <v>0</v>
      </c>
      <c r="T184" s="2009"/>
      <c r="U184" s="1941"/>
      <c r="V184" s="1948"/>
      <c r="W184" s="1949">
        <f t="shared" si="414"/>
        <v>0</v>
      </c>
      <c r="X184" s="1944">
        <f>+SUMPRODUCT(X185:X188,Y185:Y188)</f>
        <v>0.2</v>
      </c>
      <c r="Y184" s="1945">
        <v>0.35</v>
      </c>
      <c r="Z184" s="1945">
        <v>0.35</v>
      </c>
      <c r="AA184" s="1945">
        <v>0.35</v>
      </c>
      <c r="AB184" s="1945">
        <v>0.35</v>
      </c>
      <c r="AC184" s="1945">
        <v>0.35</v>
      </c>
      <c r="AD184" s="1942">
        <f>SUM(AD185:AD188)</f>
        <v>1567912828.5464399</v>
      </c>
      <c r="AE184" s="1942">
        <f>SUM(AE185:AE188)</f>
        <v>639000000</v>
      </c>
      <c r="AF184" s="1942">
        <f t="shared" ref="AF184:AK184" si="418">SUM(AF185:AF188)</f>
        <v>2433500000</v>
      </c>
      <c r="AG184" s="1942">
        <f t="shared" si="418"/>
        <v>4150000000</v>
      </c>
      <c r="AH184" s="1942">
        <f t="shared" si="418"/>
        <v>1056620915.139931</v>
      </c>
      <c r="AI184" s="1942">
        <f t="shared" si="418"/>
        <v>632960379</v>
      </c>
      <c r="AJ184" s="1942">
        <f t="shared" si="418"/>
        <v>0</v>
      </c>
      <c r="AK184" s="1942">
        <f t="shared" si="418"/>
        <v>0</v>
      </c>
      <c r="AL184" s="1950">
        <f t="shared" si="337"/>
        <v>0.67390284453472404</v>
      </c>
      <c r="AM184" s="1950">
        <f t="shared" si="337"/>
        <v>0.99054832394366199</v>
      </c>
      <c r="AN184" s="1950">
        <f t="shared" si="337"/>
        <v>0</v>
      </c>
      <c r="AO184" s="1950">
        <f t="shared" si="337"/>
        <v>0</v>
      </c>
      <c r="AP184" s="1942">
        <f t="shared" ref="AP184:AS184" si="419">SUM(AP185:AP188)</f>
        <v>985608144.98759699</v>
      </c>
      <c r="AQ184" s="1942">
        <f t="shared" si="419"/>
        <v>582472078.51999998</v>
      </c>
      <c r="AR184" s="1942">
        <f t="shared" si="419"/>
        <v>0</v>
      </c>
      <c r="AS184" s="1942">
        <f t="shared" si="419"/>
        <v>0</v>
      </c>
      <c r="AT184" s="1950">
        <f t="shared" si="338"/>
        <v>0.62861157013513413</v>
      </c>
      <c r="AU184" s="1950">
        <f t="shared" si="338"/>
        <v>0.91153689909233171</v>
      </c>
      <c r="AV184" s="1950">
        <f t="shared" si="338"/>
        <v>0</v>
      </c>
      <c r="AW184" s="1950">
        <f t="shared" si="330"/>
        <v>0</v>
      </c>
      <c r="AX184" s="1942">
        <f t="shared" ref="AX184:BE184" si="420">SUM(AX185:AX188)</f>
        <v>71012770.152333975</v>
      </c>
      <c r="AY184" s="1942">
        <f t="shared" si="420"/>
        <v>50488300.479999989</v>
      </c>
      <c r="AZ184" s="1942">
        <f t="shared" si="420"/>
        <v>0</v>
      </c>
      <c r="BA184" s="1942">
        <f t="shared" si="420"/>
        <v>0</v>
      </c>
      <c r="BB184" s="1942">
        <f t="shared" si="420"/>
        <v>0</v>
      </c>
      <c r="BC184" s="1942">
        <f t="shared" si="420"/>
        <v>0</v>
      </c>
      <c r="BD184" s="1942">
        <f t="shared" si="420"/>
        <v>0</v>
      </c>
      <c r="BE184" s="1942">
        <f t="shared" si="420"/>
        <v>0</v>
      </c>
      <c r="BF184" s="1945">
        <f t="shared" si="340"/>
        <v>0</v>
      </c>
      <c r="BG184" s="1945">
        <f t="shared" si="340"/>
        <v>0</v>
      </c>
      <c r="BH184" s="1945" t="e">
        <f t="shared" si="340"/>
        <v>#DIV/0!</v>
      </c>
      <c r="BI184" s="1945" t="e">
        <f t="shared" si="332"/>
        <v>#DIV/0!</v>
      </c>
      <c r="BJ184" s="1942">
        <f t="shared" si="367"/>
        <v>8790412828.5464401</v>
      </c>
      <c r="BK184" s="1951">
        <f t="shared" si="368"/>
        <v>1689581294.139931</v>
      </c>
      <c r="BL184" s="1952">
        <f t="shared" si="365"/>
        <v>0.19220727479977931</v>
      </c>
      <c r="BM184" s="1951">
        <f t="shared" si="366"/>
        <v>1568080223.507597</v>
      </c>
      <c r="BN184" s="1953">
        <f t="shared" si="347"/>
        <v>0.17838527656122502</v>
      </c>
      <c r="BO184" s="1942"/>
      <c r="BP184" s="1954"/>
      <c r="BQ184" s="1954"/>
      <c r="BR184" s="1954"/>
    </row>
    <row r="185" spans="1:70" ht="12.75" customHeight="1" thickBot="1">
      <c r="A185" s="2031" t="s">
        <v>2607</v>
      </c>
      <c r="B185" s="2032" t="s">
        <v>2608</v>
      </c>
      <c r="C185" s="1025" t="s">
        <v>2181</v>
      </c>
      <c r="D185" s="1133">
        <v>0</v>
      </c>
      <c r="E185" s="1135">
        <v>0</v>
      </c>
      <c r="F185" s="1135">
        <v>1</v>
      </c>
      <c r="G185" s="1135">
        <v>2</v>
      </c>
      <c r="H185" s="1627"/>
      <c r="I185" s="1030"/>
      <c r="J185" s="1030"/>
      <c r="K185" s="1030"/>
      <c r="L185" s="1030"/>
      <c r="M185" s="1031"/>
      <c r="N185" s="1031"/>
      <c r="O185" s="1031"/>
      <c r="P185" s="1032"/>
      <c r="Q185" s="1032"/>
      <c r="R185" s="1032">
        <f t="shared" ref="R185:S188" si="421">IF((J185+N185)/F185&gt;=100%,100%,(J185+N185)/F185)</f>
        <v>0</v>
      </c>
      <c r="S185" s="1032">
        <f t="shared" si="421"/>
        <v>0</v>
      </c>
      <c r="T185" s="1793"/>
      <c r="U185" s="1034">
        <v>46022</v>
      </c>
      <c r="V185" s="1035">
        <f t="shared" ref="V185:V188" si="422">SUM(D185:G185)</f>
        <v>3</v>
      </c>
      <c r="W185" s="1035">
        <f t="shared" ref="W185:W188" si="423">SUM(H185:N185)</f>
        <v>0</v>
      </c>
      <c r="X185" s="1279">
        <f t="shared" si="412"/>
        <v>0</v>
      </c>
      <c r="Y185" s="1037">
        <v>0.6</v>
      </c>
      <c r="Z185" s="1037">
        <v>0</v>
      </c>
      <c r="AA185" s="1037">
        <v>0</v>
      </c>
      <c r="AB185" s="1037">
        <v>0</v>
      </c>
      <c r="AC185" s="1037">
        <v>0</v>
      </c>
      <c r="AD185" s="1137">
        <v>0</v>
      </c>
      <c r="AE185" s="1137">
        <v>0</v>
      </c>
      <c r="AF185" s="1137">
        <v>1723500000</v>
      </c>
      <c r="AG185" s="1137">
        <v>3400000000</v>
      </c>
      <c r="AH185" s="1137">
        <v>0</v>
      </c>
      <c r="AI185" s="1137"/>
      <c r="AJ185" s="1137"/>
      <c r="AK185" s="1137"/>
      <c r="AL185" s="1112" t="e">
        <f t="shared" si="337"/>
        <v>#DIV/0!</v>
      </c>
      <c r="AM185" s="1112" t="e">
        <f t="shared" si="337"/>
        <v>#DIV/0!</v>
      </c>
      <c r="AN185" s="1112">
        <f t="shared" si="337"/>
        <v>0</v>
      </c>
      <c r="AO185" s="1112">
        <f t="shared" si="337"/>
        <v>0</v>
      </c>
      <c r="AP185" s="1283">
        <v>0</v>
      </c>
      <c r="AQ185" s="1041"/>
      <c r="AR185" s="1552"/>
      <c r="AS185" s="1042"/>
      <c r="AT185" s="1140" t="e">
        <f t="shared" si="338"/>
        <v>#DIV/0!</v>
      </c>
      <c r="AU185" s="1140" t="e">
        <f t="shared" si="338"/>
        <v>#DIV/0!</v>
      </c>
      <c r="AV185" s="1140">
        <f t="shared" si="338"/>
        <v>0</v>
      </c>
      <c r="AW185" s="1140">
        <f t="shared" si="330"/>
        <v>0</v>
      </c>
      <c r="AX185" s="1044">
        <f t="shared" ref="AX185:BA188" si="424">+AH185-AP185</f>
        <v>0</v>
      </c>
      <c r="AY185" s="1044">
        <f t="shared" si="424"/>
        <v>0</v>
      </c>
      <c r="AZ185" s="1044">
        <f t="shared" si="424"/>
        <v>0</v>
      </c>
      <c r="BA185" s="1044">
        <f t="shared" si="424"/>
        <v>0</v>
      </c>
      <c r="BB185" s="1283"/>
      <c r="BC185" s="1283"/>
      <c r="BD185" s="1283"/>
      <c r="BE185" s="1283"/>
      <c r="BF185" s="1045" t="e">
        <f t="shared" si="340"/>
        <v>#DIV/0!</v>
      </c>
      <c r="BG185" s="1045" t="e">
        <f t="shared" si="340"/>
        <v>#DIV/0!</v>
      </c>
      <c r="BH185" s="1045" t="e">
        <f t="shared" si="340"/>
        <v>#DIV/0!</v>
      </c>
      <c r="BI185" s="1045" t="e">
        <f t="shared" si="332"/>
        <v>#DIV/0!</v>
      </c>
      <c r="BJ185" s="1283">
        <f t="shared" si="367"/>
        <v>5123500000</v>
      </c>
      <c r="BK185" s="1046">
        <f t="shared" si="368"/>
        <v>0</v>
      </c>
      <c r="BL185" s="1047">
        <f t="shared" si="365"/>
        <v>0</v>
      </c>
      <c r="BM185" s="1046">
        <f t="shared" si="366"/>
        <v>0</v>
      </c>
      <c r="BN185" s="1048">
        <f t="shared" si="347"/>
        <v>0</v>
      </c>
      <c r="BO185" s="1049"/>
      <c r="BP185" s="1512" t="s">
        <v>2434</v>
      </c>
      <c r="BQ185" s="1531" t="s">
        <v>2534</v>
      </c>
      <c r="BR185" s="1469" t="s">
        <v>2535</v>
      </c>
    </row>
    <row r="186" spans="1:70" ht="12.75" customHeight="1" thickBot="1">
      <c r="A186" s="2024" t="s">
        <v>622</v>
      </c>
      <c r="B186" s="1412" t="s">
        <v>2609</v>
      </c>
      <c r="C186" s="1055" t="s">
        <v>2181</v>
      </c>
      <c r="D186" s="1088">
        <v>23</v>
      </c>
      <c r="E186" s="1089">
        <v>23</v>
      </c>
      <c r="F186" s="1089">
        <v>23</v>
      </c>
      <c r="G186" s="1090">
        <v>23</v>
      </c>
      <c r="H186" s="1659">
        <v>23</v>
      </c>
      <c r="I186" s="1060">
        <v>23</v>
      </c>
      <c r="J186" s="1060"/>
      <c r="K186" s="1060"/>
      <c r="L186" s="1060"/>
      <c r="M186" s="1061"/>
      <c r="N186" s="1061"/>
      <c r="O186" s="1061"/>
      <c r="P186" s="1062">
        <f t="shared" ref="P186:Q188" si="425">IF((H186+L186)/D186&gt;=100%,100%,(H186+L186)/D186)</f>
        <v>1</v>
      </c>
      <c r="Q186" s="1062">
        <f t="shared" si="425"/>
        <v>1</v>
      </c>
      <c r="R186" s="1062">
        <f t="shared" si="421"/>
        <v>0</v>
      </c>
      <c r="S186" s="1062">
        <f t="shared" si="421"/>
        <v>0</v>
      </c>
      <c r="T186" s="1669" t="s">
        <v>2610</v>
      </c>
      <c r="U186" s="1034">
        <v>46022</v>
      </c>
      <c r="V186" s="1035">
        <f t="shared" si="422"/>
        <v>92</v>
      </c>
      <c r="W186" s="1035">
        <f t="shared" si="423"/>
        <v>46</v>
      </c>
      <c r="X186" s="1327">
        <f t="shared" si="412"/>
        <v>0.5</v>
      </c>
      <c r="Y186" s="1065">
        <v>0.15</v>
      </c>
      <c r="Z186" s="1065">
        <v>0.35</v>
      </c>
      <c r="AA186" s="1065">
        <v>0.35</v>
      </c>
      <c r="AB186" s="1065">
        <v>0.35</v>
      </c>
      <c r="AC186" s="1065">
        <v>0.35</v>
      </c>
      <c r="AD186" s="1418">
        <f>157500000+1133912828.54644</f>
        <v>1291412828.5464399</v>
      </c>
      <c r="AE186" s="1418">
        <v>234000000</v>
      </c>
      <c r="AF186" s="1418">
        <v>260000000</v>
      </c>
      <c r="AG186" s="1418">
        <v>275000000</v>
      </c>
      <c r="AH186" s="1066">
        <f>141830299+727877034.139931</f>
        <v>869707333.13993096</v>
      </c>
      <c r="AI186" s="1066">
        <v>231338407</v>
      </c>
      <c r="AJ186" s="1066"/>
      <c r="AK186" s="1066"/>
      <c r="AL186" s="1074">
        <f t="shared" si="337"/>
        <v>0.67345415340099812</v>
      </c>
      <c r="AM186" s="1074">
        <f t="shared" si="337"/>
        <v>0.98862567094017095</v>
      </c>
      <c r="AN186" s="1074">
        <f t="shared" si="337"/>
        <v>0</v>
      </c>
      <c r="AO186" s="1074">
        <f t="shared" si="337"/>
        <v>0</v>
      </c>
      <c r="AP186" s="1070">
        <f>130573794+669449921.987597</f>
        <v>800023715.98759699</v>
      </c>
      <c r="AQ186" s="1068">
        <v>217927697.21000001</v>
      </c>
      <c r="AR186" s="1560"/>
      <c r="AS186" s="1069"/>
      <c r="AT186" s="1140">
        <f t="shared" si="338"/>
        <v>0.6194949425181645</v>
      </c>
      <c r="AU186" s="1140">
        <f t="shared" si="338"/>
        <v>0.93131494534188042</v>
      </c>
      <c r="AV186" s="1140">
        <f t="shared" si="338"/>
        <v>0</v>
      </c>
      <c r="AW186" s="1140">
        <f t="shared" si="330"/>
        <v>0</v>
      </c>
      <c r="AX186" s="1044">
        <f t="shared" si="424"/>
        <v>69683617.152333975</v>
      </c>
      <c r="AY186" s="1044">
        <f t="shared" si="424"/>
        <v>13410709.789999992</v>
      </c>
      <c r="AZ186" s="1044">
        <f t="shared" si="424"/>
        <v>0</v>
      </c>
      <c r="BA186" s="1044">
        <f t="shared" si="424"/>
        <v>0</v>
      </c>
      <c r="BB186" s="1070"/>
      <c r="BC186" s="1070"/>
      <c r="BD186" s="1070"/>
      <c r="BE186" s="1070"/>
      <c r="BF186" s="1071">
        <f t="shared" si="340"/>
        <v>0</v>
      </c>
      <c r="BG186" s="1071">
        <f t="shared" si="340"/>
        <v>0</v>
      </c>
      <c r="BH186" s="1071" t="e">
        <f t="shared" si="340"/>
        <v>#DIV/0!</v>
      </c>
      <c r="BI186" s="1071" t="e">
        <f t="shared" si="332"/>
        <v>#DIV/0!</v>
      </c>
      <c r="BJ186" s="1070">
        <f t="shared" si="367"/>
        <v>2060412828.5464399</v>
      </c>
      <c r="BK186" s="1072">
        <f t="shared" si="368"/>
        <v>1101045740.139931</v>
      </c>
      <c r="BL186" s="1073">
        <f t="shared" si="365"/>
        <v>0.53438113221061923</v>
      </c>
      <c r="BM186" s="1072">
        <f t="shared" si="366"/>
        <v>1017951413.197597</v>
      </c>
      <c r="BN186" s="1074">
        <f t="shared" si="347"/>
        <v>0.49405216231143906</v>
      </c>
      <c r="BO186" s="1049" t="s">
        <v>2226</v>
      </c>
      <c r="BP186" s="1512" t="s">
        <v>2434</v>
      </c>
      <c r="BQ186" s="1531" t="s">
        <v>2534</v>
      </c>
      <c r="BR186" s="1469" t="s">
        <v>2535</v>
      </c>
    </row>
    <row r="187" spans="1:70" ht="12.75" customHeight="1" thickBot="1">
      <c r="A187" s="2024" t="s">
        <v>623</v>
      </c>
      <c r="B187" s="1412" t="s">
        <v>2611</v>
      </c>
      <c r="C187" s="1055" t="s">
        <v>2181</v>
      </c>
      <c r="D187" s="2033">
        <v>23</v>
      </c>
      <c r="E187" s="1962">
        <v>23</v>
      </c>
      <c r="F187" s="1962">
        <v>23</v>
      </c>
      <c r="G187" s="1964">
        <v>23</v>
      </c>
      <c r="H187" s="1659">
        <v>23</v>
      </c>
      <c r="I187" s="1060">
        <v>23</v>
      </c>
      <c r="J187" s="1060"/>
      <c r="K187" s="1060"/>
      <c r="L187" s="1060"/>
      <c r="M187" s="1061"/>
      <c r="N187" s="1061"/>
      <c r="O187" s="1061"/>
      <c r="P187" s="1062">
        <f t="shared" si="425"/>
        <v>1</v>
      </c>
      <c r="Q187" s="1062">
        <f t="shared" si="425"/>
        <v>1</v>
      </c>
      <c r="R187" s="1062">
        <f t="shared" si="421"/>
        <v>0</v>
      </c>
      <c r="S187" s="1062">
        <f t="shared" si="421"/>
        <v>0</v>
      </c>
      <c r="T187" s="1669" t="s">
        <v>2612</v>
      </c>
      <c r="U187" s="1034">
        <v>46022</v>
      </c>
      <c r="V187" s="1035">
        <f t="shared" si="422"/>
        <v>92</v>
      </c>
      <c r="W187" s="1035">
        <f t="shared" si="423"/>
        <v>46</v>
      </c>
      <c r="X187" s="1327">
        <f t="shared" si="412"/>
        <v>0.5</v>
      </c>
      <c r="Y187" s="1065">
        <v>0.15</v>
      </c>
      <c r="Z187" s="1065">
        <v>0.35</v>
      </c>
      <c r="AA187" s="1065">
        <v>0.35</v>
      </c>
      <c r="AB187" s="1065">
        <v>0.35</v>
      </c>
      <c r="AC187" s="1065">
        <v>0.35</v>
      </c>
      <c r="AD187" s="1066">
        <v>157500000</v>
      </c>
      <c r="AE187" s="1066">
        <v>234000000</v>
      </c>
      <c r="AF187" s="1066">
        <v>260000000</v>
      </c>
      <c r="AG187" s="1066">
        <v>275000000</v>
      </c>
      <c r="AH187" s="1066">
        <v>148221051</v>
      </c>
      <c r="AI187" s="1066">
        <v>232566984</v>
      </c>
      <c r="AJ187" s="1066"/>
      <c r="AK187" s="1066"/>
      <c r="AL187" s="1074">
        <f t="shared" si="337"/>
        <v>0.94108603809523805</v>
      </c>
      <c r="AM187" s="1074">
        <f t="shared" si="337"/>
        <v>0.99387599999999998</v>
      </c>
      <c r="AN187" s="1074">
        <f t="shared" si="337"/>
        <v>0</v>
      </c>
      <c r="AO187" s="1074">
        <f t="shared" si="337"/>
        <v>0</v>
      </c>
      <c r="AP187" s="1070">
        <v>146946181</v>
      </c>
      <c r="AQ187" s="1068">
        <v>202479715.21000001</v>
      </c>
      <c r="AR187" s="1560"/>
      <c r="AS187" s="1069"/>
      <c r="AT187" s="1140">
        <f t="shared" si="338"/>
        <v>0.93299162539682534</v>
      </c>
      <c r="AU187" s="1140">
        <f t="shared" si="338"/>
        <v>0.86529792824786333</v>
      </c>
      <c r="AV187" s="1140">
        <f t="shared" si="338"/>
        <v>0</v>
      </c>
      <c r="AW187" s="1140">
        <f t="shared" si="330"/>
        <v>0</v>
      </c>
      <c r="AX187" s="1044">
        <f t="shared" si="424"/>
        <v>1274870</v>
      </c>
      <c r="AY187" s="1044">
        <f t="shared" si="424"/>
        <v>30087268.789999992</v>
      </c>
      <c r="AZ187" s="1044">
        <f t="shared" si="424"/>
        <v>0</v>
      </c>
      <c r="BA187" s="1044">
        <f t="shared" si="424"/>
        <v>0</v>
      </c>
      <c r="BB187" s="1070"/>
      <c r="BC187" s="1070"/>
      <c r="BD187" s="1070"/>
      <c r="BE187" s="1070"/>
      <c r="BF187" s="1071">
        <f t="shared" si="340"/>
        <v>0</v>
      </c>
      <c r="BG187" s="1071">
        <f t="shared" si="340"/>
        <v>0</v>
      </c>
      <c r="BH187" s="1071" t="e">
        <f t="shared" si="340"/>
        <v>#DIV/0!</v>
      </c>
      <c r="BI187" s="1071" t="e">
        <f t="shared" si="332"/>
        <v>#DIV/0!</v>
      </c>
      <c r="BJ187" s="1070">
        <f t="shared" si="367"/>
        <v>926500000</v>
      </c>
      <c r="BK187" s="1072">
        <f t="shared" si="368"/>
        <v>380788035</v>
      </c>
      <c r="BL187" s="1073">
        <f t="shared" si="365"/>
        <v>0.41099626011872636</v>
      </c>
      <c r="BM187" s="1072">
        <f t="shared" si="366"/>
        <v>349425896.21000004</v>
      </c>
      <c r="BN187" s="1074">
        <f t="shared" si="347"/>
        <v>0.37714613730167301</v>
      </c>
      <c r="BO187" s="1075"/>
      <c r="BP187" s="1512" t="s">
        <v>2533</v>
      </c>
      <c r="BQ187" s="1531" t="s">
        <v>2534</v>
      </c>
      <c r="BR187" s="1469" t="s">
        <v>2535</v>
      </c>
    </row>
    <row r="188" spans="1:70" ht="12.75" customHeight="1" thickBot="1">
      <c r="A188" s="2034" t="s">
        <v>2613</v>
      </c>
      <c r="B188" s="2035" t="s">
        <v>2614</v>
      </c>
      <c r="C188" s="1152" t="s">
        <v>2181</v>
      </c>
      <c r="D188" s="2036">
        <v>1</v>
      </c>
      <c r="E188" s="2037">
        <v>1</v>
      </c>
      <c r="F188" s="2037">
        <v>1</v>
      </c>
      <c r="G188" s="2038">
        <v>1</v>
      </c>
      <c r="H188" s="1634">
        <v>1</v>
      </c>
      <c r="I188" s="1182">
        <v>1</v>
      </c>
      <c r="J188" s="1182"/>
      <c r="K188" s="1182"/>
      <c r="L188" s="1182"/>
      <c r="M188" s="1101"/>
      <c r="N188" s="1101"/>
      <c r="O188" s="1101"/>
      <c r="P188" s="1102">
        <f t="shared" si="425"/>
        <v>1</v>
      </c>
      <c r="Q188" s="1102">
        <f t="shared" si="425"/>
        <v>1</v>
      </c>
      <c r="R188" s="1102">
        <f t="shared" si="421"/>
        <v>0</v>
      </c>
      <c r="S188" s="1102">
        <f t="shared" si="421"/>
        <v>0</v>
      </c>
      <c r="T188" s="1686" t="s">
        <v>2615</v>
      </c>
      <c r="U188" s="1034">
        <v>46022</v>
      </c>
      <c r="V188" s="1035">
        <f t="shared" si="422"/>
        <v>4</v>
      </c>
      <c r="W188" s="1035">
        <f t="shared" si="423"/>
        <v>2</v>
      </c>
      <c r="X188" s="1291">
        <f t="shared" si="412"/>
        <v>0.5</v>
      </c>
      <c r="Y188" s="1104">
        <v>0.1</v>
      </c>
      <c r="Z188" s="1104">
        <v>0.3</v>
      </c>
      <c r="AA188" s="1104">
        <v>0.3</v>
      </c>
      <c r="AB188" s="1104">
        <v>0.3</v>
      </c>
      <c r="AC188" s="1104">
        <v>0.3</v>
      </c>
      <c r="AD188" s="1106">
        <v>119000000</v>
      </c>
      <c r="AE188" s="1106">
        <v>171000000</v>
      </c>
      <c r="AF188" s="1106">
        <v>190000000</v>
      </c>
      <c r="AG188" s="1106">
        <v>200000000</v>
      </c>
      <c r="AH188" s="1106">
        <v>38692531</v>
      </c>
      <c r="AI188" s="1106">
        <v>169054988</v>
      </c>
      <c r="AJ188" s="1106"/>
      <c r="AK188" s="1106"/>
      <c r="AL188" s="1112">
        <f t="shared" si="337"/>
        <v>0.32514731932773111</v>
      </c>
      <c r="AM188" s="1112">
        <f t="shared" si="337"/>
        <v>0.9886256608187135</v>
      </c>
      <c r="AN188" s="1112">
        <f t="shared" si="337"/>
        <v>0</v>
      </c>
      <c r="AO188" s="1112">
        <f t="shared" si="337"/>
        <v>0</v>
      </c>
      <c r="AP188" s="1107">
        <v>38638248</v>
      </c>
      <c r="AQ188" s="1187">
        <v>162064666.09999999</v>
      </c>
      <c r="AR188" s="1567"/>
      <c r="AS188" s="1188"/>
      <c r="AT188" s="1189">
        <f t="shared" si="338"/>
        <v>0.32469115966386553</v>
      </c>
      <c r="AU188" s="1189">
        <f t="shared" si="338"/>
        <v>0.94774658538011691</v>
      </c>
      <c r="AV188" s="1189">
        <f t="shared" si="338"/>
        <v>0</v>
      </c>
      <c r="AW188" s="1189">
        <f t="shared" si="330"/>
        <v>0</v>
      </c>
      <c r="AX188" s="1044">
        <f t="shared" si="424"/>
        <v>54283</v>
      </c>
      <c r="AY188" s="1044">
        <f t="shared" si="424"/>
        <v>6990321.900000006</v>
      </c>
      <c r="AZ188" s="1044">
        <f t="shared" si="424"/>
        <v>0</v>
      </c>
      <c r="BA188" s="1044">
        <f t="shared" si="424"/>
        <v>0</v>
      </c>
      <c r="BB188" s="1107"/>
      <c r="BC188" s="1107"/>
      <c r="BD188" s="1107"/>
      <c r="BE188" s="1107"/>
      <c r="BF188" s="1190">
        <f t="shared" si="340"/>
        <v>0</v>
      </c>
      <c r="BG188" s="1190">
        <f t="shared" si="340"/>
        <v>0</v>
      </c>
      <c r="BH188" s="1190" t="e">
        <f t="shared" si="340"/>
        <v>#DIV/0!</v>
      </c>
      <c r="BI188" s="1190" t="e">
        <f t="shared" si="332"/>
        <v>#DIV/0!</v>
      </c>
      <c r="BJ188" s="1107">
        <f t="shared" si="367"/>
        <v>680000000</v>
      </c>
      <c r="BK188" s="1110">
        <f t="shared" si="368"/>
        <v>207747519</v>
      </c>
      <c r="BL188" s="1111">
        <f t="shared" si="365"/>
        <v>0.30551105735294115</v>
      </c>
      <c r="BM188" s="1110">
        <f t="shared" si="366"/>
        <v>200702914.09999999</v>
      </c>
      <c r="BN188" s="1112">
        <f t="shared" si="347"/>
        <v>0.29515134426470585</v>
      </c>
      <c r="BO188" s="1113"/>
      <c r="BP188" s="1435" t="s">
        <v>2533</v>
      </c>
      <c r="BQ188" s="1436" t="s">
        <v>2616</v>
      </c>
      <c r="BR188" s="1437" t="s">
        <v>2535</v>
      </c>
    </row>
    <row r="189" spans="1:70" ht="12.75" customHeight="1" thickBot="1">
      <c r="A189" s="1973" t="s">
        <v>2617</v>
      </c>
      <c r="B189" s="1973"/>
      <c r="C189" s="1974"/>
      <c r="D189" s="1974"/>
      <c r="E189" s="1975"/>
      <c r="F189" s="1975"/>
      <c r="G189" s="1975"/>
      <c r="H189" s="1975"/>
      <c r="I189" s="1975"/>
      <c r="J189" s="1975"/>
      <c r="K189" s="1975"/>
      <c r="L189" s="1975"/>
      <c r="M189" s="1975"/>
      <c r="N189" s="1975"/>
      <c r="O189" s="1975"/>
      <c r="P189" s="1976">
        <f>+SUMPRODUCT(P190:P193,Z190:Z193)</f>
        <v>1</v>
      </c>
      <c r="Q189" s="1977">
        <f>+SUMPRODUCT(Q190:Q193,AA190:AA193)</f>
        <v>1</v>
      </c>
      <c r="R189" s="1978">
        <f>+SUMPRODUCT(R190:R193,AB190:AB193)</f>
        <v>0</v>
      </c>
      <c r="S189" s="1978">
        <f>+SUMPRODUCT(S190:S193,AC190:AC193)</f>
        <v>0</v>
      </c>
      <c r="T189" s="1979"/>
      <c r="U189" s="1973"/>
      <c r="V189" s="1980"/>
      <c r="W189" s="1981">
        <f t="shared" si="414"/>
        <v>0</v>
      </c>
      <c r="X189" s="1976">
        <f>+SUMPRODUCT(X190:X193,Y190:Y193)</f>
        <v>0.52500000000000002</v>
      </c>
      <c r="Y189" s="1977">
        <v>0.65</v>
      </c>
      <c r="Z189" s="1977">
        <v>0.65</v>
      </c>
      <c r="AA189" s="1977">
        <v>0.65</v>
      </c>
      <c r="AB189" s="1977">
        <v>0.65</v>
      </c>
      <c r="AC189" s="1977">
        <v>0.65</v>
      </c>
      <c r="AD189" s="1974">
        <f>SUM(AD190:AD193)</f>
        <v>55315286066.5</v>
      </c>
      <c r="AE189" s="1974">
        <f>SUM(AE190:AE193)</f>
        <v>47848805028</v>
      </c>
      <c r="AF189" s="1974">
        <f t="shared" ref="AF189:AG189" si="426">SUM(AF190:AF193)</f>
        <v>51042295444.516251</v>
      </c>
      <c r="AG189" s="1974">
        <f t="shared" si="426"/>
        <v>54213512024.442062</v>
      </c>
      <c r="AH189" s="1974">
        <f>SUM(AH190:AH193)</f>
        <v>51100484902.5</v>
      </c>
      <c r="AI189" s="1974">
        <f t="shared" ref="AI189:AK189" si="427">SUM(AI190:AI193)</f>
        <v>46957865806.580002</v>
      </c>
      <c r="AJ189" s="1974">
        <f t="shared" si="427"/>
        <v>0</v>
      </c>
      <c r="AK189" s="1974">
        <f t="shared" si="427"/>
        <v>0</v>
      </c>
      <c r="AL189" s="1982">
        <f t="shared" si="337"/>
        <v>0.92380404290175833</v>
      </c>
      <c r="AM189" s="1982">
        <f t="shared" si="337"/>
        <v>0.98138011553478421</v>
      </c>
      <c r="AN189" s="1982">
        <f t="shared" si="337"/>
        <v>0</v>
      </c>
      <c r="AO189" s="1982">
        <f t="shared" si="337"/>
        <v>0</v>
      </c>
      <c r="AP189" s="1974">
        <f t="shared" ref="AP189:AS189" si="428">SUM(AP190:AP193)</f>
        <v>50863484901.5</v>
      </c>
      <c r="AQ189" s="1974">
        <f t="shared" si="428"/>
        <v>45984288978.239998</v>
      </c>
      <c r="AR189" s="1974">
        <f t="shared" si="428"/>
        <v>0</v>
      </c>
      <c r="AS189" s="1974">
        <f t="shared" si="428"/>
        <v>0</v>
      </c>
      <c r="AT189" s="1982">
        <f t="shared" si="338"/>
        <v>0.91951951293087331</v>
      </c>
      <c r="AU189" s="1982">
        <f t="shared" si="338"/>
        <v>0.96103317421053813</v>
      </c>
      <c r="AV189" s="1982">
        <f t="shared" si="338"/>
        <v>0</v>
      </c>
      <c r="AW189" s="1982">
        <f t="shared" si="330"/>
        <v>0</v>
      </c>
      <c r="AX189" s="1974">
        <f t="shared" ref="AX189:BE189" si="429">SUM(AX190:AX193)</f>
        <v>237000001</v>
      </c>
      <c r="AY189" s="1974">
        <f t="shared" si="429"/>
        <v>973576828.34000003</v>
      </c>
      <c r="AZ189" s="1974">
        <f t="shared" si="429"/>
        <v>0</v>
      </c>
      <c r="BA189" s="1974">
        <f t="shared" si="429"/>
        <v>0</v>
      </c>
      <c r="BB189" s="1974">
        <f t="shared" si="429"/>
        <v>0</v>
      </c>
      <c r="BC189" s="1974">
        <f t="shared" si="429"/>
        <v>0</v>
      </c>
      <c r="BD189" s="1974">
        <f t="shared" si="429"/>
        <v>0</v>
      </c>
      <c r="BE189" s="1974">
        <f t="shared" si="429"/>
        <v>0</v>
      </c>
      <c r="BF189" s="1977">
        <f t="shared" si="340"/>
        <v>0</v>
      </c>
      <c r="BG189" s="1977">
        <f t="shared" si="340"/>
        <v>0</v>
      </c>
      <c r="BH189" s="1977" t="e">
        <f t="shared" si="340"/>
        <v>#DIV/0!</v>
      </c>
      <c r="BI189" s="1977" t="e">
        <f t="shared" si="332"/>
        <v>#DIV/0!</v>
      </c>
      <c r="BJ189" s="1974">
        <f t="shared" si="367"/>
        <v>208419898563.45831</v>
      </c>
      <c r="BK189" s="1983">
        <f t="shared" si="368"/>
        <v>98058350709.080002</v>
      </c>
      <c r="BL189" s="1984">
        <f t="shared" si="365"/>
        <v>0.47048459089055666</v>
      </c>
      <c r="BM189" s="1983">
        <f t="shared" si="366"/>
        <v>96847773879.73999</v>
      </c>
      <c r="BN189" s="1985">
        <f t="shared" si="347"/>
        <v>0.46467623555748166</v>
      </c>
      <c r="BO189" s="1974"/>
      <c r="BP189" s="1986"/>
      <c r="BQ189" s="1986"/>
      <c r="BR189" s="1986"/>
    </row>
    <row r="190" spans="1:70" ht="12.75" customHeight="1" thickBot="1">
      <c r="A190" s="2039" t="s">
        <v>2618</v>
      </c>
      <c r="B190" s="2040" t="s">
        <v>2619</v>
      </c>
      <c r="C190" s="1025" t="s">
        <v>2181</v>
      </c>
      <c r="D190" s="1133">
        <v>1</v>
      </c>
      <c r="E190" s="1134">
        <v>1</v>
      </c>
      <c r="F190" s="1134">
        <v>1</v>
      </c>
      <c r="G190" s="1135">
        <v>1</v>
      </c>
      <c r="H190" s="1627">
        <v>3</v>
      </c>
      <c r="I190" s="1030">
        <v>1</v>
      </c>
      <c r="J190" s="1030"/>
      <c r="K190" s="1030"/>
      <c r="L190" s="1030"/>
      <c r="M190" s="1031"/>
      <c r="N190" s="1031"/>
      <c r="O190" s="1031"/>
      <c r="P190" s="1032">
        <f t="shared" ref="P190:S193" si="430">IF((H190+L190)/D190&gt;=100%,100%,(H190+L190)/D190)</f>
        <v>1</v>
      </c>
      <c r="Q190" s="1032">
        <f t="shared" si="430"/>
        <v>1</v>
      </c>
      <c r="R190" s="1032">
        <f t="shared" si="430"/>
        <v>0</v>
      </c>
      <c r="S190" s="1032">
        <f t="shared" si="430"/>
        <v>0</v>
      </c>
      <c r="T190" s="1702" t="s">
        <v>2620</v>
      </c>
      <c r="U190" s="1034">
        <v>46022</v>
      </c>
      <c r="V190" s="1035">
        <f t="shared" ref="V190:V193" si="431">SUM(D190:G190)</f>
        <v>4</v>
      </c>
      <c r="W190" s="1035">
        <f t="shared" ref="W190:W193" si="432">SUM(H190:N190)</f>
        <v>4</v>
      </c>
      <c r="X190" s="1279">
        <f t="shared" si="412"/>
        <v>1</v>
      </c>
      <c r="Y190" s="1037">
        <v>0.05</v>
      </c>
      <c r="Z190" s="1037">
        <v>0.05</v>
      </c>
      <c r="AA190" s="1037">
        <v>0.05</v>
      </c>
      <c r="AB190" s="1037">
        <v>0.05</v>
      </c>
      <c r="AC190" s="1037">
        <v>0.05</v>
      </c>
      <c r="AD190" s="1137">
        <v>11557542425.5</v>
      </c>
      <c r="AE190" s="1137">
        <v>1822787922</v>
      </c>
      <c r="AF190" s="1137">
        <v>2608821104.5162506</v>
      </c>
      <c r="AG190" s="1137">
        <v>2652676320.4420643</v>
      </c>
      <c r="AH190" s="1049">
        <v>7342741261.5</v>
      </c>
      <c r="AI190" s="1049">
        <v>931848700.58000004</v>
      </c>
      <c r="AJ190" s="1049"/>
      <c r="AK190" s="1049"/>
      <c r="AL190" s="1039">
        <f t="shared" si="337"/>
        <v>0.635320294849131</v>
      </c>
      <c r="AM190" s="1039">
        <f t="shared" si="337"/>
        <v>0.51122167825072962</v>
      </c>
      <c r="AN190" s="1039">
        <f t="shared" si="337"/>
        <v>0</v>
      </c>
      <c r="AO190" s="1039">
        <f t="shared" si="337"/>
        <v>0</v>
      </c>
      <c r="AP190" s="1138">
        <v>7342741260.5</v>
      </c>
      <c r="AQ190" s="1041">
        <v>373002851</v>
      </c>
      <c r="AR190" s="1552"/>
      <c r="AS190" s="1042"/>
      <c r="AT190" s="1043">
        <f t="shared" si="338"/>
        <v>0.63532029476260732</v>
      </c>
      <c r="AU190" s="1043">
        <f t="shared" si="338"/>
        <v>0.20463315918328759</v>
      </c>
      <c r="AV190" s="1043">
        <f t="shared" si="338"/>
        <v>0</v>
      </c>
      <c r="AW190" s="1043">
        <f t="shared" si="330"/>
        <v>0</v>
      </c>
      <c r="AX190" s="1044">
        <f t="shared" ref="AX190:BA193" si="433">+AH190-AP190</f>
        <v>1</v>
      </c>
      <c r="AY190" s="1044">
        <f t="shared" si="433"/>
        <v>558845849.58000004</v>
      </c>
      <c r="AZ190" s="1044">
        <f t="shared" si="433"/>
        <v>0</v>
      </c>
      <c r="BA190" s="1044">
        <f t="shared" si="433"/>
        <v>0</v>
      </c>
      <c r="BB190" s="1049"/>
      <c r="BC190" s="1049"/>
      <c r="BD190" s="1049"/>
      <c r="BE190" s="1049"/>
      <c r="BF190" s="1045">
        <f t="shared" si="340"/>
        <v>0</v>
      </c>
      <c r="BG190" s="1045">
        <f t="shared" si="340"/>
        <v>0</v>
      </c>
      <c r="BH190" s="1045" t="e">
        <f t="shared" si="340"/>
        <v>#DIV/0!</v>
      </c>
      <c r="BI190" s="1045" t="e">
        <f t="shared" si="332"/>
        <v>#DIV/0!</v>
      </c>
      <c r="BJ190" s="1049">
        <f t="shared" si="367"/>
        <v>18641827772.458313</v>
      </c>
      <c r="BK190" s="1141">
        <f t="shared" si="368"/>
        <v>8274589962.0799999</v>
      </c>
      <c r="BL190" s="1142">
        <f t="shared" si="365"/>
        <v>0.4438722459556777</v>
      </c>
      <c r="BM190" s="1141">
        <f t="shared" si="366"/>
        <v>7715744111.5</v>
      </c>
      <c r="BN190" s="1143">
        <f t="shared" si="347"/>
        <v>0.41389418493069358</v>
      </c>
      <c r="BO190" s="1049"/>
      <c r="BP190" s="1409" t="s">
        <v>2533</v>
      </c>
      <c r="BQ190" s="1531" t="s">
        <v>2534</v>
      </c>
      <c r="BR190" s="1469" t="s">
        <v>2535</v>
      </c>
    </row>
    <row r="191" spans="1:70" ht="12.75" customHeight="1" thickBot="1">
      <c r="A191" s="2024" t="s">
        <v>2621</v>
      </c>
      <c r="B191" s="2041" t="s">
        <v>2622</v>
      </c>
      <c r="C191" s="1055" t="s">
        <v>2181</v>
      </c>
      <c r="D191" s="1088">
        <v>1</v>
      </c>
      <c r="E191" s="1089">
        <v>1</v>
      </c>
      <c r="F191" s="2042">
        <v>1</v>
      </c>
      <c r="G191" s="1090">
        <v>1</v>
      </c>
      <c r="H191" s="1659">
        <v>1</v>
      </c>
      <c r="I191" s="1060">
        <v>1</v>
      </c>
      <c r="J191" s="1060"/>
      <c r="K191" s="1060"/>
      <c r="L191" s="1060"/>
      <c r="M191" s="1061"/>
      <c r="N191" s="1061"/>
      <c r="O191" s="1061"/>
      <c r="P191" s="1062">
        <f t="shared" si="430"/>
        <v>1</v>
      </c>
      <c r="Q191" s="1062">
        <f t="shared" si="430"/>
        <v>1</v>
      </c>
      <c r="R191" s="1062">
        <f t="shared" si="430"/>
        <v>0</v>
      </c>
      <c r="S191" s="1062">
        <f t="shared" si="430"/>
        <v>0</v>
      </c>
      <c r="T191" s="1669" t="s">
        <v>2623</v>
      </c>
      <c r="U191" s="1034">
        <v>46022</v>
      </c>
      <c r="V191" s="1035">
        <f t="shared" si="431"/>
        <v>4</v>
      </c>
      <c r="W191" s="1035">
        <f t="shared" si="432"/>
        <v>2</v>
      </c>
      <c r="X191" s="1327">
        <f t="shared" si="412"/>
        <v>0.5</v>
      </c>
      <c r="Y191" s="1065">
        <v>0.15</v>
      </c>
      <c r="Z191" s="1065">
        <v>0.15</v>
      </c>
      <c r="AA191" s="1065">
        <v>0.15</v>
      </c>
      <c r="AB191" s="1065">
        <v>0.15</v>
      </c>
      <c r="AC191" s="1065">
        <v>0.15</v>
      </c>
      <c r="AD191" s="1418">
        <f>0+7712286460</f>
        <v>7712286460</v>
      </c>
      <c r="AE191" s="1418">
        <v>8334741638</v>
      </c>
      <c r="AF191" s="1418">
        <v>7943655054</v>
      </c>
      <c r="AG191" s="1418">
        <v>8427423646</v>
      </c>
      <c r="AH191" s="1066">
        <f>0+7712286460</f>
        <v>7712286460</v>
      </c>
      <c r="AI191" s="1066">
        <v>8334741638</v>
      </c>
      <c r="AJ191" s="1066"/>
      <c r="AK191" s="1066"/>
      <c r="AL191" s="2043">
        <f t="shared" si="337"/>
        <v>1</v>
      </c>
      <c r="AM191" s="2043">
        <f t="shared" si="337"/>
        <v>1</v>
      </c>
      <c r="AN191" s="2043">
        <f t="shared" si="337"/>
        <v>0</v>
      </c>
      <c r="AO191" s="2043">
        <f t="shared" si="337"/>
        <v>0</v>
      </c>
      <c r="AP191" s="1087">
        <f>0+7712286460</f>
        <v>7712286460</v>
      </c>
      <c r="AQ191" s="1068">
        <v>7943655054</v>
      </c>
      <c r="AR191" s="1560"/>
      <c r="AS191" s="1069"/>
      <c r="AT191" s="1140">
        <f t="shared" si="338"/>
        <v>1</v>
      </c>
      <c r="AU191" s="1140">
        <f t="shared" si="338"/>
        <v>0.95307753965438513</v>
      </c>
      <c r="AV191" s="1140">
        <f t="shared" si="338"/>
        <v>0</v>
      </c>
      <c r="AW191" s="1140">
        <f t="shared" si="330"/>
        <v>0</v>
      </c>
      <c r="AX191" s="1044">
        <f t="shared" si="433"/>
        <v>0</v>
      </c>
      <c r="AY191" s="1044">
        <f t="shared" si="433"/>
        <v>391086584</v>
      </c>
      <c r="AZ191" s="1044">
        <f t="shared" si="433"/>
        <v>0</v>
      </c>
      <c r="BA191" s="1044">
        <f t="shared" si="433"/>
        <v>0</v>
      </c>
      <c r="BB191" s="1070"/>
      <c r="BC191" s="1070"/>
      <c r="BD191" s="1070"/>
      <c r="BE191" s="1070"/>
      <c r="BF191" s="1071" t="e">
        <f t="shared" si="340"/>
        <v>#DIV/0!</v>
      </c>
      <c r="BG191" s="1071">
        <f t="shared" si="340"/>
        <v>0</v>
      </c>
      <c r="BH191" s="1071" t="e">
        <f t="shared" si="340"/>
        <v>#DIV/0!</v>
      </c>
      <c r="BI191" s="1071" t="e">
        <f t="shared" si="332"/>
        <v>#DIV/0!</v>
      </c>
      <c r="BJ191" s="1070">
        <f t="shared" si="367"/>
        <v>32418106798</v>
      </c>
      <c r="BK191" s="1072">
        <f t="shared" si="368"/>
        <v>16047028098</v>
      </c>
      <c r="BL191" s="1073">
        <f t="shared" si="365"/>
        <v>0.49500201223934531</v>
      </c>
      <c r="BM191" s="1072">
        <f t="shared" si="366"/>
        <v>15655941514</v>
      </c>
      <c r="BN191" s="1074">
        <f t="shared" si="347"/>
        <v>0.48293818055303206</v>
      </c>
      <c r="BO191" s="1075" t="s">
        <v>2624</v>
      </c>
      <c r="BP191" s="1512" t="s">
        <v>2533</v>
      </c>
      <c r="BQ191" s="1531" t="s">
        <v>2534</v>
      </c>
      <c r="BR191" s="1469" t="s">
        <v>2535</v>
      </c>
    </row>
    <row r="192" spans="1:70" ht="12.75" customHeight="1" thickBot="1">
      <c r="A192" s="2024" t="s">
        <v>2625</v>
      </c>
      <c r="B192" s="2041" t="s">
        <v>2626</v>
      </c>
      <c r="C192" s="1055" t="s">
        <v>2181</v>
      </c>
      <c r="D192" s="1088">
        <v>1</v>
      </c>
      <c r="E192" s="1089">
        <v>1</v>
      </c>
      <c r="F192" s="2042">
        <v>1</v>
      </c>
      <c r="G192" s="1090">
        <v>1</v>
      </c>
      <c r="H192" s="1659">
        <v>1</v>
      </c>
      <c r="I192" s="1060">
        <v>1</v>
      </c>
      <c r="J192" s="1060"/>
      <c r="K192" s="1060"/>
      <c r="L192" s="1060"/>
      <c r="M192" s="1061"/>
      <c r="N192" s="1061"/>
      <c r="O192" s="1061"/>
      <c r="P192" s="1062">
        <f t="shared" si="430"/>
        <v>1</v>
      </c>
      <c r="Q192" s="1062">
        <f t="shared" si="430"/>
        <v>1</v>
      </c>
      <c r="R192" s="1062">
        <f t="shared" si="430"/>
        <v>0</v>
      </c>
      <c r="S192" s="1062">
        <f t="shared" si="430"/>
        <v>0</v>
      </c>
      <c r="T192" s="1669" t="s">
        <v>2627</v>
      </c>
      <c r="U192" s="1034">
        <v>46022</v>
      </c>
      <c r="V192" s="1035">
        <f t="shared" si="431"/>
        <v>4</v>
      </c>
      <c r="W192" s="1035">
        <f t="shared" si="432"/>
        <v>2</v>
      </c>
      <c r="X192" s="1327">
        <f t="shared" si="412"/>
        <v>0.5</v>
      </c>
      <c r="Y192" s="1065">
        <v>0.75</v>
      </c>
      <c r="Z192" s="1065">
        <v>0.75</v>
      </c>
      <c r="AA192" s="1065">
        <v>0.75</v>
      </c>
      <c r="AB192" s="1065">
        <v>0.75</v>
      </c>
      <c r="AC192" s="1065">
        <v>0.75</v>
      </c>
      <c r="AD192" s="1418">
        <f>0+35678457181</f>
        <v>35678457181</v>
      </c>
      <c r="AE192" s="1418">
        <v>37107595468</v>
      </c>
      <c r="AF192" s="1418">
        <v>38589819286</v>
      </c>
      <c r="AG192" s="1418">
        <v>40133412058</v>
      </c>
      <c r="AH192" s="1066">
        <f>0+35678457181</f>
        <v>35678457181</v>
      </c>
      <c r="AI192" s="1066">
        <v>37107595468</v>
      </c>
      <c r="AJ192" s="1066"/>
      <c r="AK192" s="1066"/>
      <c r="AL192" s="2043">
        <f t="shared" si="337"/>
        <v>1</v>
      </c>
      <c r="AM192" s="2043">
        <f t="shared" si="337"/>
        <v>1</v>
      </c>
      <c r="AN192" s="2043">
        <f t="shared" si="337"/>
        <v>0</v>
      </c>
      <c r="AO192" s="2043">
        <f t="shared" si="337"/>
        <v>0</v>
      </c>
      <c r="AP192" s="1087">
        <v>35678457181</v>
      </c>
      <c r="AQ192" s="1066">
        <v>37107595468</v>
      </c>
      <c r="AR192" s="1560"/>
      <c r="AS192" s="1069"/>
      <c r="AT192" s="1140">
        <f t="shared" si="338"/>
        <v>1</v>
      </c>
      <c r="AU192" s="1140">
        <f t="shared" si="338"/>
        <v>1</v>
      </c>
      <c r="AV192" s="1140">
        <f t="shared" si="338"/>
        <v>0</v>
      </c>
      <c r="AW192" s="1140">
        <f t="shared" si="330"/>
        <v>0</v>
      </c>
      <c r="AX192" s="1044">
        <f t="shared" si="433"/>
        <v>0</v>
      </c>
      <c r="AY192" s="1044">
        <f t="shared" si="433"/>
        <v>0</v>
      </c>
      <c r="AZ192" s="1044">
        <f t="shared" si="433"/>
        <v>0</v>
      </c>
      <c r="BA192" s="1044">
        <f t="shared" si="433"/>
        <v>0</v>
      </c>
      <c r="BB192" s="1070"/>
      <c r="BC192" s="1070"/>
      <c r="BD192" s="1070"/>
      <c r="BE192" s="1070"/>
      <c r="BF192" s="1071" t="e">
        <f t="shared" si="340"/>
        <v>#DIV/0!</v>
      </c>
      <c r="BG192" s="1071" t="e">
        <f t="shared" si="340"/>
        <v>#DIV/0!</v>
      </c>
      <c r="BH192" s="1071" t="e">
        <f t="shared" si="340"/>
        <v>#DIV/0!</v>
      </c>
      <c r="BI192" s="1071" t="e">
        <f t="shared" si="332"/>
        <v>#DIV/0!</v>
      </c>
      <c r="BJ192" s="1070">
        <f t="shared" si="367"/>
        <v>151509283993</v>
      </c>
      <c r="BK192" s="1072">
        <f t="shared" si="368"/>
        <v>72786052649</v>
      </c>
      <c r="BL192" s="1073">
        <f t="shared" si="365"/>
        <v>0.48040655153754702</v>
      </c>
      <c r="BM192" s="1072">
        <f t="shared" si="366"/>
        <v>72786052649</v>
      </c>
      <c r="BN192" s="1074">
        <f t="shared" si="347"/>
        <v>0.48040655153754702</v>
      </c>
      <c r="BO192" s="1075" t="s">
        <v>2624</v>
      </c>
      <c r="BP192" s="1512" t="s">
        <v>2533</v>
      </c>
      <c r="BQ192" s="1531" t="s">
        <v>2534</v>
      </c>
      <c r="BR192" s="1469" t="s">
        <v>2535</v>
      </c>
    </row>
    <row r="193" spans="1:70" ht="51" customHeight="1" thickBot="1">
      <c r="A193" s="2034" t="s">
        <v>2628</v>
      </c>
      <c r="B193" s="2035" t="s">
        <v>2629</v>
      </c>
      <c r="C193" s="1152" t="s">
        <v>2181</v>
      </c>
      <c r="D193" s="2044">
        <v>1</v>
      </c>
      <c r="E193" s="2045">
        <v>1</v>
      </c>
      <c r="F193" s="2045">
        <v>1</v>
      </c>
      <c r="G193" s="2046">
        <v>1</v>
      </c>
      <c r="H193" s="1634">
        <v>1</v>
      </c>
      <c r="I193" s="1182">
        <v>1</v>
      </c>
      <c r="J193" s="1182"/>
      <c r="K193" s="1182"/>
      <c r="L193" s="1182"/>
      <c r="M193" s="1101"/>
      <c r="N193" s="1101"/>
      <c r="O193" s="1101"/>
      <c r="P193" s="1102">
        <f t="shared" si="430"/>
        <v>1</v>
      </c>
      <c r="Q193" s="1102">
        <f t="shared" si="430"/>
        <v>1</v>
      </c>
      <c r="R193" s="1102">
        <f t="shared" si="430"/>
        <v>0</v>
      </c>
      <c r="S193" s="1102">
        <f t="shared" si="430"/>
        <v>0</v>
      </c>
      <c r="T193" s="1686" t="s">
        <v>2630</v>
      </c>
      <c r="U193" s="1034">
        <v>46022</v>
      </c>
      <c r="V193" s="1035">
        <f t="shared" si="431"/>
        <v>4</v>
      </c>
      <c r="W193" s="1035">
        <f t="shared" si="432"/>
        <v>2</v>
      </c>
      <c r="X193" s="1291">
        <f t="shared" si="412"/>
        <v>0.5</v>
      </c>
      <c r="Y193" s="1104">
        <v>0.05</v>
      </c>
      <c r="Z193" s="1104">
        <v>0.05</v>
      </c>
      <c r="AA193" s="1104">
        <v>0.05</v>
      </c>
      <c r="AB193" s="1104">
        <v>0.05</v>
      </c>
      <c r="AC193" s="1104">
        <v>0.05</v>
      </c>
      <c r="AD193" s="1106">
        <v>367000000</v>
      </c>
      <c r="AE193" s="1106">
        <v>583680000</v>
      </c>
      <c r="AF193" s="1106">
        <v>1900000000</v>
      </c>
      <c r="AG193" s="1106">
        <v>3000000000</v>
      </c>
      <c r="AH193" s="1106">
        <v>367000000</v>
      </c>
      <c r="AI193" s="1106">
        <v>583680000</v>
      </c>
      <c r="AJ193" s="1106"/>
      <c r="AK193" s="1106"/>
      <c r="AL193" s="1112">
        <f t="shared" si="337"/>
        <v>1</v>
      </c>
      <c r="AM193" s="1112">
        <f t="shared" si="337"/>
        <v>1</v>
      </c>
      <c r="AN193" s="1112">
        <f t="shared" si="337"/>
        <v>0</v>
      </c>
      <c r="AO193" s="1112">
        <f t="shared" si="337"/>
        <v>0</v>
      </c>
      <c r="AP193" s="1107">
        <v>130000000</v>
      </c>
      <c r="AQ193" s="1187">
        <v>560035605.24000001</v>
      </c>
      <c r="AR193" s="1567"/>
      <c r="AS193" s="1188"/>
      <c r="AT193" s="1189">
        <f t="shared" si="338"/>
        <v>0.35422343324250682</v>
      </c>
      <c r="AU193" s="1189">
        <f t="shared" si="338"/>
        <v>0.95949082586348688</v>
      </c>
      <c r="AV193" s="1189">
        <f t="shared" si="338"/>
        <v>0</v>
      </c>
      <c r="AW193" s="1189">
        <f t="shared" si="330"/>
        <v>0</v>
      </c>
      <c r="AX193" s="1044">
        <f t="shared" si="433"/>
        <v>237000000</v>
      </c>
      <c r="AY193" s="1044">
        <f t="shared" si="433"/>
        <v>23644394.75999999</v>
      </c>
      <c r="AZ193" s="1044">
        <f t="shared" si="433"/>
        <v>0</v>
      </c>
      <c r="BA193" s="1044">
        <f t="shared" si="433"/>
        <v>0</v>
      </c>
      <c r="BB193" s="1107"/>
      <c r="BC193" s="1107"/>
      <c r="BD193" s="1107"/>
      <c r="BE193" s="1107"/>
      <c r="BF193" s="1190">
        <f t="shared" si="340"/>
        <v>0</v>
      </c>
      <c r="BG193" s="1190">
        <f t="shared" si="340"/>
        <v>0</v>
      </c>
      <c r="BH193" s="1190" t="e">
        <f t="shared" si="340"/>
        <v>#DIV/0!</v>
      </c>
      <c r="BI193" s="1190" t="e">
        <f t="shared" si="332"/>
        <v>#DIV/0!</v>
      </c>
      <c r="BJ193" s="1107">
        <f t="shared" si="367"/>
        <v>5850680000</v>
      </c>
      <c r="BK193" s="1110">
        <f t="shared" si="368"/>
        <v>950680000</v>
      </c>
      <c r="BL193" s="1111">
        <f t="shared" si="365"/>
        <v>0.16249051392316791</v>
      </c>
      <c r="BM193" s="1110">
        <f t="shared" si="366"/>
        <v>690035605.24000001</v>
      </c>
      <c r="BN193" s="1112">
        <f t="shared" si="347"/>
        <v>0.11794109492229964</v>
      </c>
      <c r="BO193" s="1113"/>
      <c r="BP193" s="1461" t="s">
        <v>2311</v>
      </c>
      <c r="BQ193" s="2047" t="s">
        <v>2193</v>
      </c>
      <c r="BR193" s="1861" t="s">
        <v>2535</v>
      </c>
    </row>
    <row r="194" spans="1:70" ht="35.4" customHeight="1">
      <c r="A194" s="2048" t="s">
        <v>2631</v>
      </c>
      <c r="B194" s="2049"/>
      <c r="C194" s="2050"/>
      <c r="D194" s="2050"/>
      <c r="E194" s="2051"/>
      <c r="F194" s="2051"/>
      <c r="G194" s="2052"/>
      <c r="H194" s="2051"/>
      <c r="I194" s="2051"/>
      <c r="J194" s="2052"/>
      <c r="K194" s="2051"/>
      <c r="L194" s="2051"/>
      <c r="M194" s="2052"/>
      <c r="N194" s="2052"/>
      <c r="O194" s="2052"/>
      <c r="P194" s="2053">
        <f>+(P195*Z195)+(P204*Z204)+(P222*Z222)+(P232*Z232)+(P235*Z235)+(P240*Z240)+(P248*Z248)+(P269*Z269)+(P279*Z279)</f>
        <v>0.98986099999999999</v>
      </c>
      <c r="Q194" s="2054">
        <f>+(Q195*AA195)+(Q204*AA204)+(Q222*AA222)+(Q232*AA232)+(Q235*AA235)+(Q240*AA240)+(Q248*AA248)+(Q269*AA269)+(Q279*AA279)</f>
        <v>0.94819489880952379</v>
      </c>
      <c r="R194" s="2053" t="e">
        <f>+(R195*AB195)+(R204*AB204)+(R222*AB222)+(R232*AB232)+(R235*AB235)+(R240*AB240)+(R248*AB248)+(R269*AB269)+(R279*AB279)</f>
        <v>#DIV/0!</v>
      </c>
      <c r="S194" s="2053" t="e">
        <f>+(S195*AC195)+(S204*AC204)+(S222*AC222)+(S232*AC232)+(S235*AC235)+(S240*AC240)+(S248*AC248)+(S269*AC269)+(S279*AC279)</f>
        <v>#DIV/0!</v>
      </c>
      <c r="T194" s="2055"/>
      <c r="U194" s="2056"/>
      <c r="V194" s="2057"/>
      <c r="W194" s="2058">
        <f t="shared" si="414"/>
        <v>0</v>
      </c>
      <c r="X194" s="2059">
        <f>+(X195*Y195)+(X204*Y204)+(X222*Y222)+(X232*Y232)+(X235*Y235)+(X240*Y240)+(X248*Y248)+(X269*Y269)+(X279*Y279)</f>
        <v>0.50757528392393048</v>
      </c>
      <c r="Y194" s="2060">
        <v>0.125</v>
      </c>
      <c r="Z194" s="2060">
        <f>+Y194</f>
        <v>0.125</v>
      </c>
      <c r="AA194" s="2060">
        <f>+Z194</f>
        <v>0.125</v>
      </c>
      <c r="AB194" s="2060">
        <f t="shared" ref="AB194:AC194" si="434">+AA194</f>
        <v>0.125</v>
      </c>
      <c r="AC194" s="2060">
        <f t="shared" si="434"/>
        <v>0.125</v>
      </c>
      <c r="AD194" s="2061">
        <f>+AD195+AD204+AD222+AD232+AD235+AD240+AD248+AD269+AD279</f>
        <v>20754411062.659515</v>
      </c>
      <c r="AE194" s="2061">
        <f>+AE195+AE204+AE222+AE232+AE235+AE240+AE248+AE269+AE279</f>
        <v>13712545020.09</v>
      </c>
      <c r="AF194" s="2061">
        <f t="shared" ref="AF194:AK194" si="435">+AF195+AF204+AF222+AF232+AF235+AF240+AF248+AF269+AF279</f>
        <v>10311854325</v>
      </c>
      <c r="AG194" s="2061">
        <f t="shared" si="435"/>
        <v>11742416446</v>
      </c>
      <c r="AH194" s="2061">
        <f t="shared" si="435"/>
        <v>18737948233.633968</v>
      </c>
      <c r="AI194" s="2061">
        <f t="shared" si="435"/>
        <v>13097139517.35</v>
      </c>
      <c r="AJ194" s="2061">
        <f t="shared" si="435"/>
        <v>0</v>
      </c>
      <c r="AK194" s="2061">
        <f t="shared" si="435"/>
        <v>0</v>
      </c>
      <c r="AL194" s="2054">
        <f t="shared" si="337"/>
        <v>0.90284172251683481</v>
      </c>
      <c r="AM194" s="2054">
        <f t="shared" si="337"/>
        <v>0.95512098579524218</v>
      </c>
      <c r="AN194" s="2054">
        <f t="shared" si="337"/>
        <v>0</v>
      </c>
      <c r="AO194" s="2054">
        <f t="shared" si="337"/>
        <v>0</v>
      </c>
      <c r="AP194" s="2061">
        <f t="shared" ref="AP194:AS194" si="436">+AP195+AP204+AP222+AP232+AP235+AP240+AP248+AP269+AP279</f>
        <v>17669838621.285995</v>
      </c>
      <c r="AQ194" s="2061">
        <f t="shared" si="436"/>
        <v>11807796783.99</v>
      </c>
      <c r="AR194" s="2061">
        <f t="shared" si="436"/>
        <v>0</v>
      </c>
      <c r="AS194" s="2061">
        <f t="shared" si="436"/>
        <v>0</v>
      </c>
      <c r="AT194" s="2054">
        <f t="shared" si="338"/>
        <v>0.85137750080882058</v>
      </c>
      <c r="AU194" s="2054">
        <f t="shared" si="338"/>
        <v>0.86109447711497844</v>
      </c>
      <c r="AV194" s="2054">
        <f t="shared" si="338"/>
        <v>0</v>
      </c>
      <c r="AW194" s="2054">
        <f t="shared" si="330"/>
        <v>0</v>
      </c>
      <c r="AX194" s="2061">
        <f t="shared" ref="AX194:BE194" si="437">+AX195+AX204+AX222+AX232+AX235+AX240+AX248+AX269+AX279</f>
        <v>1068109612.3479757</v>
      </c>
      <c r="AY194" s="2061">
        <f t="shared" si="437"/>
        <v>1289342733.3600001</v>
      </c>
      <c r="AZ194" s="2061">
        <f t="shared" si="437"/>
        <v>0</v>
      </c>
      <c r="BA194" s="2061">
        <f t="shared" si="437"/>
        <v>0</v>
      </c>
      <c r="BB194" s="2061">
        <f t="shared" si="437"/>
        <v>0</v>
      </c>
      <c r="BC194" s="2061">
        <f t="shared" si="437"/>
        <v>0</v>
      </c>
      <c r="BD194" s="2061">
        <f t="shared" si="437"/>
        <v>0</v>
      </c>
      <c r="BE194" s="2061">
        <f t="shared" si="437"/>
        <v>0</v>
      </c>
      <c r="BF194" s="2060">
        <f t="shared" si="340"/>
        <v>0</v>
      </c>
      <c r="BG194" s="2060">
        <f t="shared" si="340"/>
        <v>0</v>
      </c>
      <c r="BH194" s="2060" t="e">
        <f t="shared" si="340"/>
        <v>#DIV/0!</v>
      </c>
      <c r="BI194" s="2060" t="e">
        <f t="shared" si="332"/>
        <v>#DIV/0!</v>
      </c>
      <c r="BJ194" s="2061">
        <f t="shared" si="367"/>
        <v>56521226853.749512</v>
      </c>
      <c r="BK194" s="2061">
        <f t="shared" si="368"/>
        <v>31835087750.983971</v>
      </c>
      <c r="BL194" s="2062">
        <f t="shared" si="365"/>
        <v>0.56324127275860947</v>
      </c>
      <c r="BM194" s="2061">
        <f t="shared" si="366"/>
        <v>29477635405.275993</v>
      </c>
      <c r="BN194" s="2063">
        <f t="shared" si="347"/>
        <v>0.52153212246348302</v>
      </c>
      <c r="BO194" s="2064"/>
      <c r="BP194" s="2065"/>
      <c r="BQ194" s="2065"/>
      <c r="BR194" s="2065"/>
    </row>
    <row r="195" spans="1:70" ht="12.75" customHeight="1">
      <c r="A195" s="2066" t="s">
        <v>2632</v>
      </c>
      <c r="B195" s="2066"/>
      <c r="C195" s="2067"/>
      <c r="D195" s="2067"/>
      <c r="E195" s="2068"/>
      <c r="F195" s="2068"/>
      <c r="G195" s="2068"/>
      <c r="H195" s="2068"/>
      <c r="I195" s="2068"/>
      <c r="J195" s="2068"/>
      <c r="K195" s="2068"/>
      <c r="L195" s="2068"/>
      <c r="M195" s="2068"/>
      <c r="N195" s="2068"/>
      <c r="O195" s="2068"/>
      <c r="P195" s="2069">
        <f>+(P196*Z196)</f>
        <v>1</v>
      </c>
      <c r="Q195" s="2069">
        <f>+(Q196*AA196)</f>
        <v>0.90749999999999997</v>
      </c>
      <c r="R195" s="2070" t="e">
        <f>+(R196*AB196)</f>
        <v>#DIV/0!</v>
      </c>
      <c r="S195" s="2070" t="e">
        <f>+(S196*AC196)</f>
        <v>#DIV/0!</v>
      </c>
      <c r="T195" s="2071"/>
      <c r="U195" s="2066"/>
      <c r="V195" s="2072"/>
      <c r="W195" s="2073">
        <f t="shared" si="414"/>
        <v>0</v>
      </c>
      <c r="X195" s="2069">
        <f>+(X196*Y196)</f>
        <v>0.46</v>
      </c>
      <c r="Y195" s="2074">
        <v>0.125</v>
      </c>
      <c r="Z195" s="2074">
        <v>0.125</v>
      </c>
      <c r="AA195" s="2074">
        <v>0.125</v>
      </c>
      <c r="AB195" s="2074">
        <v>0.125</v>
      </c>
      <c r="AC195" s="2074">
        <v>0.125</v>
      </c>
      <c r="AD195" s="2067">
        <f>+AD196</f>
        <v>953134834.22236896</v>
      </c>
      <c r="AE195" s="2067">
        <f>+AE196</f>
        <v>1089702000</v>
      </c>
      <c r="AF195" s="2067">
        <f t="shared" ref="AF195:AK195" si="438">+AF196</f>
        <v>1312139400</v>
      </c>
      <c r="AG195" s="2067">
        <f t="shared" si="438"/>
        <v>1424387120</v>
      </c>
      <c r="AH195" s="2067">
        <f t="shared" si="438"/>
        <v>872810823.04978895</v>
      </c>
      <c r="AI195" s="2075">
        <f t="shared" si="438"/>
        <v>1088992621.97</v>
      </c>
      <c r="AJ195" s="2067">
        <f t="shared" si="438"/>
        <v>0</v>
      </c>
      <c r="AK195" s="2067">
        <f t="shared" si="438"/>
        <v>0</v>
      </c>
      <c r="AL195" s="2076">
        <f t="shared" si="337"/>
        <v>0.91572649714548127</v>
      </c>
      <c r="AM195" s="2076">
        <f t="shared" si="337"/>
        <v>0.99934901649258245</v>
      </c>
      <c r="AN195" s="2076">
        <f t="shared" si="337"/>
        <v>0</v>
      </c>
      <c r="AO195" s="2076">
        <f t="shared" si="337"/>
        <v>0</v>
      </c>
      <c r="AP195" s="2067">
        <f t="shared" ref="AP195:AS195" si="439">+AP196</f>
        <v>785578450.94494104</v>
      </c>
      <c r="AQ195" s="2077">
        <f t="shared" si="439"/>
        <v>1004928856.88</v>
      </c>
      <c r="AR195" s="2067">
        <f t="shared" si="439"/>
        <v>0</v>
      </c>
      <c r="AS195" s="2067">
        <f t="shared" si="439"/>
        <v>0</v>
      </c>
      <c r="AT195" s="2076">
        <f t="shared" si="338"/>
        <v>0.82420495268737959</v>
      </c>
      <c r="AU195" s="2076">
        <f t="shared" si="338"/>
        <v>0.92220520553325591</v>
      </c>
      <c r="AV195" s="2076">
        <f t="shared" si="338"/>
        <v>0</v>
      </c>
      <c r="AW195" s="2076">
        <f t="shared" si="330"/>
        <v>0</v>
      </c>
      <c r="AX195" s="2067">
        <f t="shared" ref="AX195:BE195" si="440">+AX196</f>
        <v>87232372.104847908</v>
      </c>
      <c r="AY195" s="2067">
        <f t="shared" si="440"/>
        <v>84063765.089999989</v>
      </c>
      <c r="AZ195" s="2067">
        <f t="shared" si="440"/>
        <v>0</v>
      </c>
      <c r="BA195" s="2067">
        <f t="shared" si="440"/>
        <v>0</v>
      </c>
      <c r="BB195" s="2067">
        <f t="shared" si="440"/>
        <v>0</v>
      </c>
      <c r="BC195" s="2067">
        <f t="shared" si="440"/>
        <v>0</v>
      </c>
      <c r="BD195" s="2067">
        <f t="shared" si="440"/>
        <v>0</v>
      </c>
      <c r="BE195" s="2067">
        <f t="shared" si="440"/>
        <v>0</v>
      </c>
      <c r="BF195" s="2074">
        <f t="shared" si="340"/>
        <v>0</v>
      </c>
      <c r="BG195" s="2074">
        <f t="shared" si="340"/>
        <v>0</v>
      </c>
      <c r="BH195" s="2074" t="e">
        <f t="shared" si="340"/>
        <v>#DIV/0!</v>
      </c>
      <c r="BI195" s="2074" t="e">
        <f t="shared" si="332"/>
        <v>#DIV/0!</v>
      </c>
      <c r="BJ195" s="2067">
        <f t="shared" si="367"/>
        <v>4779363354.2223692</v>
      </c>
      <c r="BK195" s="2077">
        <f t="shared" si="368"/>
        <v>1961803445.019789</v>
      </c>
      <c r="BL195" s="2078">
        <f t="shared" si="365"/>
        <v>0.4104738015548906</v>
      </c>
      <c r="BM195" s="2077">
        <f t="shared" si="366"/>
        <v>1790507307.8249412</v>
      </c>
      <c r="BN195" s="2079">
        <f t="shared" si="347"/>
        <v>0.37463301597337273</v>
      </c>
      <c r="BO195" s="2067"/>
      <c r="BP195" s="2080"/>
      <c r="BQ195" s="2080"/>
      <c r="BR195" s="2080"/>
    </row>
    <row r="196" spans="1:70" ht="12.75" customHeight="1" thickBot="1">
      <c r="A196" s="2081" t="s">
        <v>2633</v>
      </c>
      <c r="B196" s="2081"/>
      <c r="C196" s="2082"/>
      <c r="D196" s="2082"/>
      <c r="E196" s="2083"/>
      <c r="F196" s="2083"/>
      <c r="G196" s="2083"/>
      <c r="H196" s="2083"/>
      <c r="I196" s="2083"/>
      <c r="J196" s="2083"/>
      <c r="K196" s="2083"/>
      <c r="L196" s="2083"/>
      <c r="M196" s="2083"/>
      <c r="N196" s="2083"/>
      <c r="O196" s="2083"/>
      <c r="P196" s="2084">
        <f>+SUMPRODUCT(P197:P203,Z197:Z203)</f>
        <v>1</v>
      </c>
      <c r="Q196" s="2085">
        <f>+SUMPRODUCT(Q197:Q203,AA197:AA203)</f>
        <v>0.90749999999999997</v>
      </c>
      <c r="R196" s="2086" t="e">
        <f>+SUMPRODUCT(R197:R203,AB197:AB203)</f>
        <v>#DIV/0!</v>
      </c>
      <c r="S196" s="2086" t="e">
        <f>+SUMPRODUCT(S197:S203,AC197:AC203)</f>
        <v>#DIV/0!</v>
      </c>
      <c r="T196" s="2087"/>
      <c r="U196" s="2081"/>
      <c r="V196" s="2088"/>
      <c r="W196" s="2089">
        <f t="shared" si="414"/>
        <v>0</v>
      </c>
      <c r="X196" s="2084">
        <f>+SUMPRODUCT(X197:X203,Y197:Y203)</f>
        <v>0.46</v>
      </c>
      <c r="Y196" s="2085">
        <v>1</v>
      </c>
      <c r="Z196" s="2085">
        <v>1</v>
      </c>
      <c r="AA196" s="2085">
        <v>1</v>
      </c>
      <c r="AB196" s="2085">
        <v>1</v>
      </c>
      <c r="AC196" s="2085">
        <v>1</v>
      </c>
      <c r="AD196" s="2082">
        <f>SUM(AD197:AD203)</f>
        <v>953134834.22236896</v>
      </c>
      <c r="AE196" s="2082">
        <f>SUM(AE197:AE203)</f>
        <v>1089702000</v>
      </c>
      <c r="AF196" s="2082">
        <f t="shared" ref="AF196:AK196" si="441">SUM(AF197:AF203)</f>
        <v>1312139400</v>
      </c>
      <c r="AG196" s="2082">
        <f t="shared" si="441"/>
        <v>1424387120</v>
      </c>
      <c r="AH196" s="2082">
        <f t="shared" si="441"/>
        <v>872810823.04978895</v>
      </c>
      <c r="AI196" s="2082">
        <f t="shared" si="441"/>
        <v>1088992621.97</v>
      </c>
      <c r="AJ196" s="2082">
        <f t="shared" si="441"/>
        <v>0</v>
      </c>
      <c r="AK196" s="2082">
        <f t="shared" si="441"/>
        <v>0</v>
      </c>
      <c r="AL196" s="2090">
        <f t="shared" si="337"/>
        <v>0.91572649714548127</v>
      </c>
      <c r="AM196" s="2090">
        <f t="shared" si="337"/>
        <v>0.99934901649258245</v>
      </c>
      <c r="AN196" s="2090">
        <f t="shared" si="337"/>
        <v>0</v>
      </c>
      <c r="AO196" s="2090">
        <f t="shared" si="337"/>
        <v>0</v>
      </c>
      <c r="AP196" s="2082">
        <f t="shared" ref="AP196:AS196" si="442">SUM(AP197:AP203)</f>
        <v>785578450.94494104</v>
      </c>
      <c r="AQ196" s="2091">
        <f t="shared" si="442"/>
        <v>1004928856.88</v>
      </c>
      <c r="AR196" s="2082">
        <f t="shared" si="442"/>
        <v>0</v>
      </c>
      <c r="AS196" s="2082">
        <f t="shared" si="442"/>
        <v>0</v>
      </c>
      <c r="AT196" s="2090">
        <f t="shared" si="338"/>
        <v>0.82420495268737959</v>
      </c>
      <c r="AU196" s="2090">
        <f t="shared" si="338"/>
        <v>0.92220520553325591</v>
      </c>
      <c r="AV196" s="2090">
        <f t="shared" si="338"/>
        <v>0</v>
      </c>
      <c r="AW196" s="2090">
        <f t="shared" si="330"/>
        <v>0</v>
      </c>
      <c r="AX196" s="2082">
        <f t="shared" ref="AX196:BE196" si="443">SUM(AX197:AX203)</f>
        <v>87232372.104847908</v>
      </c>
      <c r="AY196" s="2082">
        <f t="shared" si="443"/>
        <v>84063765.089999989</v>
      </c>
      <c r="AZ196" s="2082">
        <f t="shared" si="443"/>
        <v>0</v>
      </c>
      <c r="BA196" s="2082">
        <f t="shared" si="443"/>
        <v>0</v>
      </c>
      <c r="BB196" s="2082">
        <f t="shared" si="443"/>
        <v>0</v>
      </c>
      <c r="BC196" s="2082">
        <f t="shared" si="443"/>
        <v>0</v>
      </c>
      <c r="BD196" s="2082">
        <f t="shared" si="443"/>
        <v>0</v>
      </c>
      <c r="BE196" s="2082">
        <f t="shared" si="443"/>
        <v>0</v>
      </c>
      <c r="BF196" s="2085">
        <f t="shared" si="340"/>
        <v>0</v>
      </c>
      <c r="BG196" s="2085">
        <f t="shared" si="340"/>
        <v>0</v>
      </c>
      <c r="BH196" s="2085" t="e">
        <f t="shared" si="340"/>
        <v>#DIV/0!</v>
      </c>
      <c r="BI196" s="2085" t="e">
        <f t="shared" si="332"/>
        <v>#DIV/0!</v>
      </c>
      <c r="BJ196" s="2082">
        <f t="shared" si="367"/>
        <v>4779363354.2223692</v>
      </c>
      <c r="BK196" s="2091">
        <f t="shared" si="368"/>
        <v>1961803445.019789</v>
      </c>
      <c r="BL196" s="2092">
        <f t="shared" si="365"/>
        <v>0.4104738015548906</v>
      </c>
      <c r="BM196" s="2091">
        <f t="shared" si="366"/>
        <v>1790507307.8249412</v>
      </c>
      <c r="BN196" s="2093">
        <f t="shared" si="347"/>
        <v>0.37463301597337273</v>
      </c>
      <c r="BO196" s="2082"/>
      <c r="BP196" s="2094"/>
      <c r="BQ196" s="2094"/>
      <c r="BR196" s="2094"/>
    </row>
    <row r="197" spans="1:70" ht="12.75" customHeight="1" thickBot="1">
      <c r="A197" s="1788" t="s">
        <v>2634</v>
      </c>
      <c r="B197" s="2095" t="s">
        <v>2635</v>
      </c>
      <c r="C197" s="1274" t="s">
        <v>597</v>
      </c>
      <c r="D197" s="2096">
        <v>0.5</v>
      </c>
      <c r="E197" s="2097">
        <v>0.5</v>
      </c>
      <c r="F197" s="2098">
        <v>0</v>
      </c>
      <c r="G197" s="2099">
        <v>0</v>
      </c>
      <c r="H197" s="2100">
        <v>0.5</v>
      </c>
      <c r="I197" s="1280">
        <v>0.5</v>
      </c>
      <c r="J197" s="1030"/>
      <c r="K197" s="1030"/>
      <c r="L197" s="1030"/>
      <c r="M197" s="1031"/>
      <c r="N197" s="1031"/>
      <c r="O197" s="1031"/>
      <c r="P197" s="1032">
        <f t="shared" ref="P197:S203" si="444">IF((H197+L197)/D197&gt;=100%,100%,(H197+L197)/D197)</f>
        <v>1</v>
      </c>
      <c r="Q197" s="1032">
        <f t="shared" si="444"/>
        <v>1</v>
      </c>
      <c r="R197" s="1032" t="e">
        <f t="shared" si="444"/>
        <v>#DIV/0!</v>
      </c>
      <c r="S197" s="1032" t="e">
        <f t="shared" si="444"/>
        <v>#DIV/0!</v>
      </c>
      <c r="T197" s="1702" t="s">
        <v>2636</v>
      </c>
      <c r="U197" s="1034">
        <v>46022</v>
      </c>
      <c r="V197" s="1035">
        <f t="shared" ref="V197:V203" si="445">SUM(D197:G197)</f>
        <v>1</v>
      </c>
      <c r="W197" s="1035">
        <f t="shared" ref="W197:W203" si="446">SUM(H197:N197)</f>
        <v>1</v>
      </c>
      <c r="X197" s="1279">
        <f t="shared" si="412"/>
        <v>1</v>
      </c>
      <c r="Y197" s="1037">
        <v>2.5000000000000001E-2</v>
      </c>
      <c r="Z197" s="1037">
        <v>0.05</v>
      </c>
      <c r="AA197" s="1037">
        <v>2.5000000000000001E-2</v>
      </c>
      <c r="AB197" s="1037">
        <v>2.5000000000000001E-2</v>
      </c>
      <c r="AC197" s="1037">
        <v>2.5000000000000001E-2</v>
      </c>
      <c r="AD197" s="1137">
        <v>25000000</v>
      </c>
      <c r="AE197" s="1137">
        <f>50692747/2</f>
        <v>25346373.5</v>
      </c>
      <c r="AF197" s="1137">
        <v>0</v>
      </c>
      <c r="AG197" s="1137">
        <v>0</v>
      </c>
      <c r="AH197" s="1137">
        <v>24011895</v>
      </c>
      <c r="AI197" s="1137">
        <f>50063940.87/2</f>
        <v>25031970.434999999</v>
      </c>
      <c r="AJ197" s="1137"/>
      <c r="AK197" s="1137"/>
      <c r="AL197" s="1048">
        <f t="shared" si="337"/>
        <v>0.96047579999999999</v>
      </c>
      <c r="AM197" s="1048">
        <f t="shared" si="337"/>
        <v>0.98759573770977527</v>
      </c>
      <c r="AN197" s="1048" t="e">
        <f t="shared" si="337"/>
        <v>#DIV/0!</v>
      </c>
      <c r="AO197" s="1048" t="e">
        <f t="shared" si="337"/>
        <v>#DIV/0!</v>
      </c>
      <c r="AP197" s="1283">
        <v>20889477</v>
      </c>
      <c r="AQ197" s="1041">
        <f>46198453.9/2</f>
        <v>23099226.949999999</v>
      </c>
      <c r="AR197" s="1552"/>
      <c r="AS197" s="1042"/>
      <c r="AT197" s="1043">
        <f t="shared" si="338"/>
        <v>0.83557908000000003</v>
      </c>
      <c r="AU197" s="1043">
        <f t="shared" si="338"/>
        <v>0.91134248258434281</v>
      </c>
      <c r="AV197" s="1043" t="e">
        <f t="shared" si="338"/>
        <v>#DIV/0!</v>
      </c>
      <c r="AW197" s="1043" t="e">
        <f t="shared" si="330"/>
        <v>#DIV/0!</v>
      </c>
      <c r="AX197" s="1044">
        <f t="shared" ref="AX197:BA203" si="447">+AH197-AP197</f>
        <v>3122418</v>
      </c>
      <c r="AY197" s="1044">
        <f t="shared" si="447"/>
        <v>1932743.4849999994</v>
      </c>
      <c r="AZ197" s="1044">
        <f t="shared" si="447"/>
        <v>0</v>
      </c>
      <c r="BA197" s="1044">
        <f t="shared" si="447"/>
        <v>0</v>
      </c>
      <c r="BB197" s="1283"/>
      <c r="BC197" s="1283"/>
      <c r="BD197" s="1283"/>
      <c r="BE197" s="1283"/>
      <c r="BF197" s="1045">
        <f t="shared" si="340"/>
        <v>0</v>
      </c>
      <c r="BG197" s="1045">
        <f t="shared" si="340"/>
        <v>0</v>
      </c>
      <c r="BH197" s="1045" t="e">
        <f t="shared" si="340"/>
        <v>#DIV/0!</v>
      </c>
      <c r="BI197" s="1045" t="e">
        <f t="shared" si="332"/>
        <v>#DIV/0!</v>
      </c>
      <c r="BJ197" s="1283">
        <f t="shared" si="367"/>
        <v>50346373.5</v>
      </c>
      <c r="BK197" s="1046">
        <f t="shared" si="368"/>
        <v>49043865.435000002</v>
      </c>
      <c r="BL197" s="1047">
        <f t="shared" si="365"/>
        <v>0.97412905886855983</v>
      </c>
      <c r="BM197" s="1046">
        <f t="shared" si="366"/>
        <v>43988703.950000003</v>
      </c>
      <c r="BN197" s="1048">
        <f t="shared" si="347"/>
        <v>0.87372140021167566</v>
      </c>
      <c r="BO197" s="2101"/>
      <c r="BP197" s="1409" t="s">
        <v>2637</v>
      </c>
      <c r="BQ197" s="1794" t="s">
        <v>2638</v>
      </c>
      <c r="BR197" s="1146" t="s">
        <v>596</v>
      </c>
    </row>
    <row r="198" spans="1:70" ht="12.75" customHeight="1" thickBot="1">
      <c r="A198" s="1959" t="s">
        <v>2639</v>
      </c>
      <c r="B198" s="2102" t="s">
        <v>2640</v>
      </c>
      <c r="C198" s="1889" t="s">
        <v>597</v>
      </c>
      <c r="D198" s="2103">
        <v>0</v>
      </c>
      <c r="E198" s="2104">
        <v>0.2</v>
      </c>
      <c r="F198" s="2104">
        <v>0.5</v>
      </c>
      <c r="G198" s="2105">
        <v>0.3</v>
      </c>
      <c r="H198" s="1659"/>
      <c r="I198" s="1514">
        <v>0.1</v>
      </c>
      <c r="J198" s="1060"/>
      <c r="K198" s="1060"/>
      <c r="L198" s="1060"/>
      <c r="M198" s="1061"/>
      <c r="N198" s="1061"/>
      <c r="O198" s="1061"/>
      <c r="P198" s="1062"/>
      <c r="Q198" s="1062">
        <f t="shared" si="444"/>
        <v>0.5</v>
      </c>
      <c r="R198" s="1062">
        <f t="shared" si="444"/>
        <v>0</v>
      </c>
      <c r="S198" s="1062">
        <f t="shared" si="444"/>
        <v>0</v>
      </c>
      <c r="T198" s="1136" t="s">
        <v>2641</v>
      </c>
      <c r="U198" s="1034">
        <v>46022</v>
      </c>
      <c r="V198" s="1035">
        <f t="shared" si="445"/>
        <v>1</v>
      </c>
      <c r="W198" s="1035">
        <f t="shared" si="446"/>
        <v>0.1</v>
      </c>
      <c r="X198" s="1327">
        <f t="shared" si="412"/>
        <v>0.1</v>
      </c>
      <c r="Y198" s="1065">
        <v>0.05</v>
      </c>
      <c r="Z198" s="1065">
        <v>0</v>
      </c>
      <c r="AA198" s="1065">
        <v>0.05</v>
      </c>
      <c r="AB198" s="1065">
        <v>0.05</v>
      </c>
      <c r="AC198" s="1065">
        <v>0.05</v>
      </c>
      <c r="AD198" s="1066">
        <v>0</v>
      </c>
      <c r="AE198" s="1137">
        <f>50692747/2</f>
        <v>25346373.5</v>
      </c>
      <c r="AF198" s="1137">
        <v>100000000</v>
      </c>
      <c r="AG198" s="1137">
        <v>80000000</v>
      </c>
      <c r="AH198" s="1066"/>
      <c r="AI198" s="1137">
        <f>50063940.87/2</f>
        <v>25031970.434999999</v>
      </c>
      <c r="AJ198" s="1137"/>
      <c r="AK198" s="1137"/>
      <c r="AL198" s="1112" t="e">
        <f t="shared" si="337"/>
        <v>#DIV/0!</v>
      </c>
      <c r="AM198" s="1112">
        <f t="shared" si="337"/>
        <v>0.98759573770977527</v>
      </c>
      <c r="AN198" s="1112">
        <f t="shared" si="337"/>
        <v>0</v>
      </c>
      <c r="AO198" s="1112">
        <f t="shared" si="337"/>
        <v>0</v>
      </c>
      <c r="AP198" s="1070"/>
      <c r="AQ198" s="1041">
        <f>46198453.9/2</f>
        <v>23099226.949999999</v>
      </c>
      <c r="AR198" s="1560"/>
      <c r="AS198" s="1069"/>
      <c r="AT198" s="1140" t="e">
        <f t="shared" si="338"/>
        <v>#DIV/0!</v>
      </c>
      <c r="AU198" s="1140">
        <f t="shared" si="338"/>
        <v>0.91134248258434281</v>
      </c>
      <c r="AV198" s="1140">
        <f t="shared" si="338"/>
        <v>0</v>
      </c>
      <c r="AW198" s="1140">
        <f t="shared" si="330"/>
        <v>0</v>
      </c>
      <c r="AX198" s="1044">
        <f t="shared" si="447"/>
        <v>0</v>
      </c>
      <c r="AY198" s="1044">
        <f t="shared" si="447"/>
        <v>1932743.4849999994</v>
      </c>
      <c r="AZ198" s="1044">
        <f t="shared" si="447"/>
        <v>0</v>
      </c>
      <c r="BA198" s="1044">
        <f t="shared" si="447"/>
        <v>0</v>
      </c>
      <c r="BB198" s="1070"/>
      <c r="BC198" s="1070"/>
      <c r="BD198" s="1070"/>
      <c r="BE198" s="1070"/>
      <c r="BF198" s="1071" t="e">
        <f t="shared" si="340"/>
        <v>#DIV/0!</v>
      </c>
      <c r="BG198" s="1071">
        <f t="shared" si="340"/>
        <v>0</v>
      </c>
      <c r="BH198" s="1071" t="e">
        <f t="shared" si="340"/>
        <v>#DIV/0!</v>
      </c>
      <c r="BI198" s="1071" t="e">
        <f t="shared" si="332"/>
        <v>#DIV/0!</v>
      </c>
      <c r="BJ198" s="1070">
        <f t="shared" si="367"/>
        <v>205346373.5</v>
      </c>
      <c r="BK198" s="1072">
        <f t="shared" si="368"/>
        <v>25031970.434999999</v>
      </c>
      <c r="BL198" s="1073">
        <f t="shared" si="365"/>
        <v>0.12190120530665227</v>
      </c>
      <c r="BM198" s="1072">
        <f t="shared" si="366"/>
        <v>23099226.949999999</v>
      </c>
      <c r="BN198" s="1074">
        <f t="shared" si="347"/>
        <v>0.11248909126705371</v>
      </c>
      <c r="BO198" s="2106"/>
      <c r="BP198" s="1321" t="s">
        <v>2637</v>
      </c>
      <c r="BQ198" s="1873" t="s">
        <v>2638</v>
      </c>
      <c r="BR198" s="1083" t="s">
        <v>596</v>
      </c>
    </row>
    <row r="199" spans="1:70" ht="12.75" customHeight="1" thickBot="1">
      <c r="A199" s="1965" t="s">
        <v>2642</v>
      </c>
      <c r="B199" s="2102" t="s">
        <v>2643</v>
      </c>
      <c r="C199" s="1889" t="s">
        <v>597</v>
      </c>
      <c r="D199" s="2107">
        <v>0</v>
      </c>
      <c r="E199" s="2104">
        <v>1</v>
      </c>
      <c r="F199" s="2108">
        <v>0</v>
      </c>
      <c r="G199" s="2109">
        <v>0</v>
      </c>
      <c r="H199" s="1659"/>
      <c r="I199" s="1514">
        <v>0.2</v>
      </c>
      <c r="J199" s="1060"/>
      <c r="K199" s="1060"/>
      <c r="L199" s="1060"/>
      <c r="M199" s="1061"/>
      <c r="N199" s="1061"/>
      <c r="O199" s="1061"/>
      <c r="P199" s="1062"/>
      <c r="Q199" s="1062">
        <f t="shared" si="444"/>
        <v>0.2</v>
      </c>
      <c r="R199" s="1062" t="e">
        <f t="shared" si="444"/>
        <v>#DIV/0!</v>
      </c>
      <c r="S199" s="1062" t="e">
        <f t="shared" si="444"/>
        <v>#DIV/0!</v>
      </c>
      <c r="T199" s="1136" t="s">
        <v>2644</v>
      </c>
      <c r="U199" s="1034">
        <v>46022</v>
      </c>
      <c r="V199" s="1035">
        <f t="shared" si="445"/>
        <v>1</v>
      </c>
      <c r="W199" s="1035">
        <f t="shared" si="446"/>
        <v>0.2</v>
      </c>
      <c r="X199" s="1327">
        <f t="shared" si="412"/>
        <v>0.2</v>
      </c>
      <c r="Y199" s="1065">
        <v>2.5000000000000001E-2</v>
      </c>
      <c r="Z199" s="1065">
        <v>0</v>
      </c>
      <c r="AA199" s="1065">
        <v>3.7499999999999999E-2</v>
      </c>
      <c r="AB199" s="1065">
        <v>3.7499999999999999E-2</v>
      </c>
      <c r="AC199" s="1065">
        <v>3.7499999999999999E-2</v>
      </c>
      <c r="AD199" s="1066">
        <v>0</v>
      </c>
      <c r="AE199" s="1066">
        <f>8100000/2</f>
        <v>4050000</v>
      </c>
      <c r="AF199" s="1066">
        <v>0</v>
      </c>
      <c r="AG199" s="1066">
        <v>0</v>
      </c>
      <c r="AH199" s="1066"/>
      <c r="AI199" s="1066">
        <f>8019428.1/2</f>
        <v>4009714.05</v>
      </c>
      <c r="AJ199" s="1066"/>
      <c r="AK199" s="1066"/>
      <c r="AL199" s="1112" t="e">
        <f t="shared" si="337"/>
        <v>#DIV/0!</v>
      </c>
      <c r="AM199" s="1112">
        <f t="shared" si="337"/>
        <v>0.99005285185185177</v>
      </c>
      <c r="AN199" s="1112" t="e">
        <f t="shared" si="337"/>
        <v>#DIV/0!</v>
      </c>
      <c r="AO199" s="1112" t="e">
        <f t="shared" ref="AO199" si="448">+AK199/AG199</f>
        <v>#DIV/0!</v>
      </c>
      <c r="AP199" s="1070"/>
      <c r="AQ199" s="1068">
        <f>6496630.37/2</f>
        <v>3248315.1850000001</v>
      </c>
      <c r="AR199" s="1560"/>
      <c r="AS199" s="1069"/>
      <c r="AT199" s="1140" t="e">
        <f t="shared" si="338"/>
        <v>#DIV/0!</v>
      </c>
      <c r="AU199" s="1140">
        <f t="shared" si="338"/>
        <v>0.8020531320987655</v>
      </c>
      <c r="AV199" s="1140" t="e">
        <f t="shared" si="338"/>
        <v>#DIV/0!</v>
      </c>
      <c r="AW199" s="1140" t="e">
        <f t="shared" si="338"/>
        <v>#DIV/0!</v>
      </c>
      <c r="AX199" s="1044">
        <f t="shared" si="447"/>
        <v>0</v>
      </c>
      <c r="AY199" s="1044">
        <f t="shared" si="447"/>
        <v>761398.86499999976</v>
      </c>
      <c r="AZ199" s="1044">
        <f t="shared" si="447"/>
        <v>0</v>
      </c>
      <c r="BA199" s="1044">
        <f t="shared" si="447"/>
        <v>0</v>
      </c>
      <c r="BB199" s="1070"/>
      <c r="BC199" s="1070"/>
      <c r="BD199" s="1070"/>
      <c r="BE199" s="1070"/>
      <c r="BF199" s="1071" t="e">
        <f t="shared" si="340"/>
        <v>#DIV/0!</v>
      </c>
      <c r="BG199" s="1071">
        <f t="shared" si="340"/>
        <v>0</v>
      </c>
      <c r="BH199" s="1071" t="e">
        <f t="shared" si="340"/>
        <v>#DIV/0!</v>
      </c>
      <c r="BI199" s="1071" t="e">
        <f t="shared" si="340"/>
        <v>#DIV/0!</v>
      </c>
      <c r="BJ199" s="1070">
        <f t="shared" si="367"/>
        <v>4050000</v>
      </c>
      <c r="BK199" s="1072">
        <f t="shared" si="368"/>
        <v>4009714.05</v>
      </c>
      <c r="BL199" s="1073">
        <f t="shared" si="365"/>
        <v>0.99005285185185177</v>
      </c>
      <c r="BM199" s="1072">
        <f t="shared" si="366"/>
        <v>3248315.1850000001</v>
      </c>
      <c r="BN199" s="1074">
        <f t="shared" si="347"/>
        <v>0.8020531320987655</v>
      </c>
      <c r="BO199" s="2106"/>
      <c r="BP199" s="1321" t="s">
        <v>2637</v>
      </c>
      <c r="BQ199" s="1873" t="s">
        <v>2638</v>
      </c>
      <c r="BR199" s="1083" t="s">
        <v>596</v>
      </c>
    </row>
    <row r="200" spans="1:70" ht="12.75" customHeight="1" thickBot="1">
      <c r="A200" s="1965" t="s">
        <v>2645</v>
      </c>
      <c r="B200" s="2102" t="s">
        <v>2646</v>
      </c>
      <c r="C200" s="1299" t="s">
        <v>2181</v>
      </c>
      <c r="D200" s="2110">
        <v>0</v>
      </c>
      <c r="E200" s="2108">
        <v>1</v>
      </c>
      <c r="F200" s="2108">
        <v>0</v>
      </c>
      <c r="G200" s="2109">
        <v>0</v>
      </c>
      <c r="H200" s="1659"/>
      <c r="I200" s="1060">
        <v>0</v>
      </c>
      <c r="J200" s="1060"/>
      <c r="K200" s="1060"/>
      <c r="L200" s="1060"/>
      <c r="M200" s="1061"/>
      <c r="N200" s="1061"/>
      <c r="O200" s="1061"/>
      <c r="P200" s="1062"/>
      <c r="Q200" s="1062">
        <f t="shared" si="444"/>
        <v>0</v>
      </c>
      <c r="R200" s="1062" t="e">
        <f t="shared" si="444"/>
        <v>#DIV/0!</v>
      </c>
      <c r="S200" s="1062" t="e">
        <f t="shared" si="444"/>
        <v>#DIV/0!</v>
      </c>
      <c r="T200" s="1136" t="s">
        <v>2647</v>
      </c>
      <c r="U200" s="1034">
        <v>46022</v>
      </c>
      <c r="V200" s="1035">
        <f t="shared" si="445"/>
        <v>1</v>
      </c>
      <c r="W200" s="1035">
        <f t="shared" si="446"/>
        <v>0</v>
      </c>
      <c r="X200" s="1327">
        <f t="shared" si="412"/>
        <v>0</v>
      </c>
      <c r="Y200" s="1065">
        <v>2.5000000000000001E-2</v>
      </c>
      <c r="Z200" s="1065">
        <v>0</v>
      </c>
      <c r="AA200" s="1065">
        <v>3.7499999999999999E-2</v>
      </c>
      <c r="AB200" s="1065">
        <v>3.7499999999999999E-2</v>
      </c>
      <c r="AC200" s="1065">
        <v>3.7499999999999999E-2</v>
      </c>
      <c r="AD200" s="1066">
        <v>0</v>
      </c>
      <c r="AE200" s="1066">
        <f>8100000/2</f>
        <v>4050000</v>
      </c>
      <c r="AF200" s="1066">
        <v>0</v>
      </c>
      <c r="AG200" s="1066">
        <v>0</v>
      </c>
      <c r="AH200" s="1066"/>
      <c r="AI200" s="1066">
        <f>8019428.1/2</f>
        <v>4009714.05</v>
      </c>
      <c r="AJ200" s="1066"/>
      <c r="AK200" s="1066"/>
      <c r="AL200" s="1112" t="e">
        <f t="shared" ref="AL200:AO263" si="449">+AH200/AD200</f>
        <v>#DIV/0!</v>
      </c>
      <c r="AM200" s="1112">
        <f t="shared" si="449"/>
        <v>0.99005285185185177</v>
      </c>
      <c r="AN200" s="1112" t="e">
        <f t="shared" si="449"/>
        <v>#DIV/0!</v>
      </c>
      <c r="AO200" s="1112" t="e">
        <f t="shared" si="449"/>
        <v>#DIV/0!</v>
      </c>
      <c r="AP200" s="1070"/>
      <c r="AQ200" s="1068">
        <f>6496630.37/2</f>
        <v>3248315.1850000001</v>
      </c>
      <c r="AR200" s="1560"/>
      <c r="AS200" s="1069"/>
      <c r="AT200" s="1140" t="e">
        <f t="shared" ref="AT200:AW263" si="450">+AP200/AD200</f>
        <v>#DIV/0!</v>
      </c>
      <c r="AU200" s="1140">
        <f t="shared" si="450"/>
        <v>0.8020531320987655</v>
      </c>
      <c r="AV200" s="1140" t="e">
        <f t="shared" si="450"/>
        <v>#DIV/0!</v>
      </c>
      <c r="AW200" s="1140" t="e">
        <f t="shared" si="450"/>
        <v>#DIV/0!</v>
      </c>
      <c r="AX200" s="1044">
        <f t="shared" si="447"/>
        <v>0</v>
      </c>
      <c r="AY200" s="1044">
        <f t="shared" si="447"/>
        <v>761398.86499999976</v>
      </c>
      <c r="AZ200" s="1044">
        <f t="shared" si="447"/>
        <v>0</v>
      </c>
      <c r="BA200" s="1044">
        <f t="shared" si="447"/>
        <v>0</v>
      </c>
      <c r="BB200" s="1070"/>
      <c r="BC200" s="1070"/>
      <c r="BD200" s="1070"/>
      <c r="BE200" s="1070"/>
      <c r="BF200" s="1071" t="e">
        <f t="shared" ref="BF200:BI263" si="451">+BB200/AX200</f>
        <v>#DIV/0!</v>
      </c>
      <c r="BG200" s="1071">
        <f t="shared" si="451"/>
        <v>0</v>
      </c>
      <c r="BH200" s="1071" t="e">
        <f t="shared" si="451"/>
        <v>#DIV/0!</v>
      </c>
      <c r="BI200" s="1071" t="e">
        <f t="shared" si="451"/>
        <v>#DIV/0!</v>
      </c>
      <c r="BJ200" s="1070">
        <f t="shared" si="367"/>
        <v>4050000</v>
      </c>
      <c r="BK200" s="1072">
        <f t="shared" si="368"/>
        <v>4009714.05</v>
      </c>
      <c r="BL200" s="1073">
        <f t="shared" si="365"/>
        <v>0.99005285185185177</v>
      </c>
      <c r="BM200" s="1072">
        <f t="shared" si="366"/>
        <v>3248315.1850000001</v>
      </c>
      <c r="BN200" s="1074">
        <f t="shared" si="347"/>
        <v>0.8020531320987655</v>
      </c>
      <c r="BO200" s="2106"/>
      <c r="BP200" s="1321" t="s">
        <v>2637</v>
      </c>
      <c r="BQ200" s="1873" t="s">
        <v>2638</v>
      </c>
      <c r="BR200" s="1083" t="s">
        <v>596</v>
      </c>
    </row>
    <row r="201" spans="1:70" ht="12.75" customHeight="1" thickBot="1">
      <c r="A201" s="1965" t="s">
        <v>2648</v>
      </c>
      <c r="B201" s="2102" t="s">
        <v>2649</v>
      </c>
      <c r="C201" s="1055" t="s">
        <v>2181</v>
      </c>
      <c r="D201" s="2110">
        <v>0</v>
      </c>
      <c r="E201" s="2108">
        <v>0</v>
      </c>
      <c r="F201" s="2108">
        <v>1</v>
      </c>
      <c r="G201" s="2109">
        <v>1</v>
      </c>
      <c r="H201" s="1659"/>
      <c r="I201" s="1060"/>
      <c r="J201" s="1060"/>
      <c r="K201" s="1060"/>
      <c r="L201" s="1060"/>
      <c r="M201" s="1061"/>
      <c r="N201" s="1061"/>
      <c r="O201" s="1061"/>
      <c r="P201" s="1062"/>
      <c r="Q201" s="1062"/>
      <c r="R201" s="1062">
        <f t="shared" si="444"/>
        <v>0</v>
      </c>
      <c r="S201" s="1062">
        <f t="shared" si="444"/>
        <v>0</v>
      </c>
      <c r="T201" s="1793"/>
      <c r="U201" s="1034">
        <v>46022</v>
      </c>
      <c r="V201" s="1035">
        <f t="shared" si="445"/>
        <v>2</v>
      </c>
      <c r="W201" s="1035">
        <f t="shared" si="446"/>
        <v>0</v>
      </c>
      <c r="X201" s="1327">
        <f t="shared" si="412"/>
        <v>0</v>
      </c>
      <c r="Y201" s="1065">
        <v>2.5000000000000001E-2</v>
      </c>
      <c r="Z201" s="1065">
        <v>0</v>
      </c>
      <c r="AA201" s="1065">
        <v>0</v>
      </c>
      <c r="AB201" s="1065">
        <v>0</v>
      </c>
      <c r="AC201" s="1065">
        <v>0</v>
      </c>
      <c r="AD201" s="1066">
        <v>0</v>
      </c>
      <c r="AE201" s="1066">
        <v>0</v>
      </c>
      <c r="AF201" s="1066">
        <v>70000000</v>
      </c>
      <c r="AG201" s="1066">
        <v>70000000</v>
      </c>
      <c r="AH201" s="1066"/>
      <c r="AI201" s="1066"/>
      <c r="AJ201" s="1066"/>
      <c r="AK201" s="1066"/>
      <c r="AL201" s="1112" t="e">
        <f t="shared" si="449"/>
        <v>#DIV/0!</v>
      </c>
      <c r="AM201" s="1112" t="e">
        <f t="shared" si="449"/>
        <v>#DIV/0!</v>
      </c>
      <c r="AN201" s="1112">
        <f t="shared" si="449"/>
        <v>0</v>
      </c>
      <c r="AO201" s="1112">
        <f t="shared" si="449"/>
        <v>0</v>
      </c>
      <c r="AP201" s="1070"/>
      <c r="AQ201" s="1068"/>
      <c r="AR201" s="1560"/>
      <c r="AS201" s="1069"/>
      <c r="AT201" s="1140" t="e">
        <f t="shared" si="450"/>
        <v>#DIV/0!</v>
      </c>
      <c r="AU201" s="1140" t="e">
        <f t="shared" si="450"/>
        <v>#DIV/0!</v>
      </c>
      <c r="AV201" s="1140">
        <f t="shared" si="450"/>
        <v>0</v>
      </c>
      <c r="AW201" s="1140">
        <f t="shared" si="450"/>
        <v>0</v>
      </c>
      <c r="AX201" s="1044">
        <f t="shared" si="447"/>
        <v>0</v>
      </c>
      <c r="AY201" s="1044">
        <f t="shared" si="447"/>
        <v>0</v>
      </c>
      <c r="AZ201" s="1044">
        <f t="shared" si="447"/>
        <v>0</v>
      </c>
      <c r="BA201" s="1044">
        <f t="shared" si="447"/>
        <v>0</v>
      </c>
      <c r="BB201" s="1070"/>
      <c r="BC201" s="1070"/>
      <c r="BD201" s="1070"/>
      <c r="BE201" s="1070"/>
      <c r="BF201" s="1071" t="e">
        <f t="shared" si="451"/>
        <v>#DIV/0!</v>
      </c>
      <c r="BG201" s="1071" t="e">
        <f t="shared" si="451"/>
        <v>#DIV/0!</v>
      </c>
      <c r="BH201" s="1071" t="e">
        <f t="shared" si="451"/>
        <v>#DIV/0!</v>
      </c>
      <c r="BI201" s="1071" t="e">
        <f t="shared" si="451"/>
        <v>#DIV/0!</v>
      </c>
      <c r="BJ201" s="1070">
        <f t="shared" si="367"/>
        <v>140000000</v>
      </c>
      <c r="BK201" s="1072">
        <f t="shared" si="368"/>
        <v>0</v>
      </c>
      <c r="BL201" s="1073">
        <f t="shared" si="365"/>
        <v>0</v>
      </c>
      <c r="BM201" s="1072">
        <f t="shared" si="366"/>
        <v>0</v>
      </c>
      <c r="BN201" s="1074">
        <f t="shared" si="347"/>
        <v>0</v>
      </c>
      <c r="BO201" s="2106"/>
      <c r="BP201" s="1321" t="s">
        <v>2637</v>
      </c>
      <c r="BQ201" s="1873" t="s">
        <v>2638</v>
      </c>
      <c r="BR201" s="1083" t="s">
        <v>596</v>
      </c>
    </row>
    <row r="202" spans="1:70" ht="12.75" customHeight="1" thickBot="1">
      <c r="A202" s="1965" t="s">
        <v>2650</v>
      </c>
      <c r="B202" s="1869" t="s">
        <v>2651</v>
      </c>
      <c r="C202" s="1055" t="s">
        <v>2181</v>
      </c>
      <c r="D202" s="2103">
        <v>1</v>
      </c>
      <c r="E202" s="2111">
        <v>1</v>
      </c>
      <c r="F202" s="2111">
        <v>1</v>
      </c>
      <c r="G202" s="2112">
        <v>1</v>
      </c>
      <c r="H202" s="1659">
        <v>1</v>
      </c>
      <c r="I202" s="1060">
        <v>1</v>
      </c>
      <c r="J202" s="1060"/>
      <c r="K202" s="1060"/>
      <c r="L202" s="1060"/>
      <c r="M202" s="1061"/>
      <c r="N202" s="1061"/>
      <c r="O202" s="1061"/>
      <c r="P202" s="1062">
        <f t="shared" si="444"/>
        <v>1</v>
      </c>
      <c r="Q202" s="1062">
        <f t="shared" si="444"/>
        <v>1</v>
      </c>
      <c r="R202" s="1062">
        <f t="shared" si="444"/>
        <v>0</v>
      </c>
      <c r="S202" s="1062">
        <f t="shared" si="444"/>
        <v>0</v>
      </c>
      <c r="T202" s="1669" t="s">
        <v>2652</v>
      </c>
      <c r="U202" s="1034">
        <v>46022</v>
      </c>
      <c r="V202" s="1035">
        <f t="shared" si="445"/>
        <v>4</v>
      </c>
      <c r="W202" s="1035">
        <f t="shared" si="446"/>
        <v>2</v>
      </c>
      <c r="X202" s="1327">
        <f t="shared" si="412"/>
        <v>0.5</v>
      </c>
      <c r="Y202" s="1065">
        <v>0.3</v>
      </c>
      <c r="Z202" s="1065">
        <v>0.35</v>
      </c>
      <c r="AA202" s="1065">
        <v>0.3</v>
      </c>
      <c r="AB202" s="1065">
        <v>0.3</v>
      </c>
      <c r="AC202" s="1065">
        <v>0.3</v>
      </c>
      <c r="AD202" s="1066">
        <f>711550000/2+(216584834.222369/2)</f>
        <v>464067417.11118448</v>
      </c>
      <c r="AE202" s="1066">
        <f>1030909253/2</f>
        <v>515454626.5</v>
      </c>
      <c r="AF202" s="1066">
        <v>426968000</v>
      </c>
      <c r="AG202" s="1066">
        <v>476406400</v>
      </c>
      <c r="AH202" s="1066">
        <f>632214094/2+(216584834.049789/2)</f>
        <v>424399464.02489448</v>
      </c>
      <c r="AI202" s="1066">
        <f>1030909253/2</f>
        <v>515454626.5</v>
      </c>
      <c r="AJ202" s="1066"/>
      <c r="AK202" s="1066"/>
      <c r="AL202" s="1074">
        <f t="shared" si="449"/>
        <v>0.9145211414901252</v>
      </c>
      <c r="AM202" s="1074">
        <f t="shared" si="449"/>
        <v>1</v>
      </c>
      <c r="AN202" s="1074">
        <f t="shared" si="449"/>
        <v>0</v>
      </c>
      <c r="AO202" s="1074">
        <f t="shared" si="449"/>
        <v>0</v>
      </c>
      <c r="AP202" s="1070">
        <f>578943594/2+(185745379.944941/2)</f>
        <v>382344486.97247052</v>
      </c>
      <c r="AQ202" s="1068">
        <f>952233772.61/2</f>
        <v>476116886.30500001</v>
      </c>
      <c r="AR202" s="1560"/>
      <c r="AS202" s="1069"/>
      <c r="AT202" s="1140">
        <f t="shared" si="450"/>
        <v>0.82389858213395273</v>
      </c>
      <c r="AU202" s="1140">
        <f t="shared" si="450"/>
        <v>0.92368340844642705</v>
      </c>
      <c r="AV202" s="1140">
        <f t="shared" si="450"/>
        <v>0</v>
      </c>
      <c r="AW202" s="1140">
        <f t="shared" si="450"/>
        <v>0</v>
      </c>
      <c r="AX202" s="1044">
        <f t="shared" si="447"/>
        <v>42054977.052423954</v>
      </c>
      <c r="AY202" s="1044">
        <f t="shared" si="447"/>
        <v>39337740.194999993</v>
      </c>
      <c r="AZ202" s="1044">
        <f t="shared" si="447"/>
        <v>0</v>
      </c>
      <c r="BA202" s="1044">
        <f t="shared" si="447"/>
        <v>0</v>
      </c>
      <c r="BB202" s="1070"/>
      <c r="BC202" s="1070"/>
      <c r="BD202" s="1070"/>
      <c r="BE202" s="1070"/>
      <c r="BF202" s="1071">
        <f t="shared" si="451"/>
        <v>0</v>
      </c>
      <c r="BG202" s="1071">
        <f t="shared" si="451"/>
        <v>0</v>
      </c>
      <c r="BH202" s="1071" t="e">
        <f t="shared" si="451"/>
        <v>#DIV/0!</v>
      </c>
      <c r="BI202" s="1071" t="e">
        <f t="shared" si="451"/>
        <v>#DIV/0!</v>
      </c>
      <c r="BJ202" s="1070">
        <f t="shared" si="367"/>
        <v>1882896443.6111846</v>
      </c>
      <c r="BK202" s="1072">
        <f t="shared" si="368"/>
        <v>939854090.52489448</v>
      </c>
      <c r="BL202" s="1073">
        <f t="shared" si="365"/>
        <v>0.49915336221165701</v>
      </c>
      <c r="BM202" s="1072">
        <f t="shared" si="366"/>
        <v>858461373.27747059</v>
      </c>
      <c r="BN202" s="1074">
        <f t="shared" si="347"/>
        <v>0.4559259624661236</v>
      </c>
      <c r="BO202" s="2106" t="s">
        <v>2653</v>
      </c>
      <c r="BP202" s="1321" t="s">
        <v>2637</v>
      </c>
      <c r="BQ202" s="1873" t="s">
        <v>2638</v>
      </c>
      <c r="BR202" s="1083" t="s">
        <v>596</v>
      </c>
    </row>
    <row r="203" spans="1:70" ht="12.75" customHeight="1" thickBot="1">
      <c r="A203" s="1881" t="s">
        <v>2654</v>
      </c>
      <c r="B203" s="1796" t="s">
        <v>2655</v>
      </c>
      <c r="C203" s="1152" t="s">
        <v>2181</v>
      </c>
      <c r="D203" s="2113">
        <v>1</v>
      </c>
      <c r="E203" s="2114">
        <v>1</v>
      </c>
      <c r="F203" s="2114">
        <v>1</v>
      </c>
      <c r="G203" s="2115">
        <v>1</v>
      </c>
      <c r="H203" s="1634">
        <v>1</v>
      </c>
      <c r="I203" s="1182">
        <v>1</v>
      </c>
      <c r="J203" s="1182"/>
      <c r="K203" s="1182"/>
      <c r="L203" s="1182"/>
      <c r="M203" s="1101"/>
      <c r="N203" s="1101"/>
      <c r="O203" s="1101"/>
      <c r="P203" s="1102">
        <f t="shared" si="444"/>
        <v>1</v>
      </c>
      <c r="Q203" s="1102">
        <f t="shared" si="444"/>
        <v>1</v>
      </c>
      <c r="R203" s="1102">
        <f t="shared" si="444"/>
        <v>0</v>
      </c>
      <c r="S203" s="1102">
        <f t="shared" si="444"/>
        <v>0</v>
      </c>
      <c r="T203" s="1686" t="s">
        <v>2656</v>
      </c>
      <c r="U203" s="1034">
        <v>46022</v>
      </c>
      <c r="V203" s="1035">
        <f t="shared" si="445"/>
        <v>4</v>
      </c>
      <c r="W203" s="1035">
        <f t="shared" si="446"/>
        <v>2</v>
      </c>
      <c r="X203" s="1291">
        <f t="shared" si="412"/>
        <v>0.5</v>
      </c>
      <c r="Y203" s="1104">
        <v>0.55000000000000004</v>
      </c>
      <c r="Z203" s="1104">
        <v>0.6</v>
      </c>
      <c r="AA203" s="1104">
        <v>0.55000000000000004</v>
      </c>
      <c r="AB203" s="1104">
        <v>0.55000000000000004</v>
      </c>
      <c r="AC203" s="1104">
        <v>0.55000000000000004</v>
      </c>
      <c r="AD203" s="1106">
        <f>711550000/2+(216584834.222369/2)</f>
        <v>464067417.11118448</v>
      </c>
      <c r="AE203" s="1066">
        <f>1030909253/2</f>
        <v>515454626.5</v>
      </c>
      <c r="AF203" s="1066">
        <v>715171400</v>
      </c>
      <c r="AG203" s="1066">
        <v>797980720</v>
      </c>
      <c r="AH203" s="1066">
        <f>632214094/2+(216584834.049789/2)</f>
        <v>424399464.02489448</v>
      </c>
      <c r="AI203" s="1066">
        <f>1030909253/2</f>
        <v>515454626.5</v>
      </c>
      <c r="AJ203" s="1066"/>
      <c r="AK203" s="1066"/>
      <c r="AL203" s="1112">
        <f t="shared" si="449"/>
        <v>0.9145211414901252</v>
      </c>
      <c r="AM203" s="1112">
        <f t="shared" si="449"/>
        <v>1</v>
      </c>
      <c r="AN203" s="1112">
        <f t="shared" si="449"/>
        <v>0</v>
      </c>
      <c r="AO203" s="1112">
        <f t="shared" si="449"/>
        <v>0</v>
      </c>
      <c r="AP203" s="1070">
        <f>578943594/2+(185745379.944941/2)</f>
        <v>382344486.97247052</v>
      </c>
      <c r="AQ203" s="1068">
        <f>952233772.61/2</f>
        <v>476116886.30500001</v>
      </c>
      <c r="AR203" s="1567"/>
      <c r="AS203" s="1188"/>
      <c r="AT203" s="1189">
        <f t="shared" si="450"/>
        <v>0.82389858213395273</v>
      </c>
      <c r="AU203" s="1189">
        <f t="shared" si="450"/>
        <v>0.92368340844642705</v>
      </c>
      <c r="AV203" s="1189">
        <f t="shared" si="450"/>
        <v>0</v>
      </c>
      <c r="AW203" s="1189">
        <f t="shared" si="450"/>
        <v>0</v>
      </c>
      <c r="AX203" s="1044">
        <f t="shared" si="447"/>
        <v>42054977.052423954</v>
      </c>
      <c r="AY203" s="1044">
        <f t="shared" si="447"/>
        <v>39337740.194999993</v>
      </c>
      <c r="AZ203" s="1044">
        <f t="shared" si="447"/>
        <v>0</v>
      </c>
      <c r="BA203" s="1044">
        <f t="shared" si="447"/>
        <v>0</v>
      </c>
      <c r="BB203" s="1107"/>
      <c r="BC203" s="1107"/>
      <c r="BD203" s="1107"/>
      <c r="BE203" s="1107"/>
      <c r="BF203" s="1190">
        <f t="shared" si="451"/>
        <v>0</v>
      </c>
      <c r="BG203" s="1190">
        <f t="shared" si="451"/>
        <v>0</v>
      </c>
      <c r="BH203" s="1190" t="e">
        <f t="shared" si="451"/>
        <v>#DIV/0!</v>
      </c>
      <c r="BI203" s="1190" t="e">
        <f t="shared" si="451"/>
        <v>#DIV/0!</v>
      </c>
      <c r="BJ203" s="1107">
        <f t="shared" si="367"/>
        <v>2492674163.6111846</v>
      </c>
      <c r="BK203" s="1110">
        <f t="shared" si="368"/>
        <v>939854090.52489448</v>
      </c>
      <c r="BL203" s="1111">
        <f t="shared" si="365"/>
        <v>0.37704650862321687</v>
      </c>
      <c r="BM203" s="1110">
        <f t="shared" si="366"/>
        <v>858461373.27747059</v>
      </c>
      <c r="BN203" s="1112">
        <f t="shared" si="347"/>
        <v>0.34439373818269181</v>
      </c>
      <c r="BO203" s="2106" t="s">
        <v>2653</v>
      </c>
      <c r="BP203" s="2116" t="s">
        <v>596</v>
      </c>
      <c r="BQ203" s="2117" t="s">
        <v>2638</v>
      </c>
      <c r="BR203" s="1191" t="s">
        <v>596</v>
      </c>
    </row>
    <row r="204" spans="1:70" ht="12.75" customHeight="1">
      <c r="A204" s="2118" t="s">
        <v>2657</v>
      </c>
      <c r="B204" s="2118"/>
      <c r="C204" s="2119"/>
      <c r="D204" s="2119"/>
      <c r="E204" s="2120"/>
      <c r="F204" s="2120"/>
      <c r="G204" s="2120"/>
      <c r="H204" s="2120"/>
      <c r="I204" s="2120"/>
      <c r="J204" s="2120"/>
      <c r="K204" s="2120"/>
      <c r="L204" s="2120"/>
      <c r="M204" s="2120"/>
      <c r="N204" s="2120"/>
      <c r="O204" s="2120"/>
      <c r="P204" s="2121">
        <f>+(P205*Z205)+(P209*Z209)+(P213*Z213)+(P217*Z217)</f>
        <v>0.99999999999999989</v>
      </c>
      <c r="Q204" s="2121">
        <f>+(Q205*AA205)+(Q209*AA209)+(Q213*AA213)+(Q217*AA217)</f>
        <v>0.89864583333333325</v>
      </c>
      <c r="R204" s="2121">
        <f>+(R205*AB205)+(R209*AB209)+(R213*AB213)+(R217*AB217)</f>
        <v>0</v>
      </c>
      <c r="S204" s="2121">
        <f>+(S205*AC205)+(S209*AC209)+(S213*AC213)+(S217*AC217)</f>
        <v>0</v>
      </c>
      <c r="T204" s="2122"/>
      <c r="U204" s="2118"/>
      <c r="V204" s="2123"/>
      <c r="W204" s="2124">
        <f t="shared" si="414"/>
        <v>0</v>
      </c>
      <c r="X204" s="2121">
        <f>+(X205*Y205)+(X209*Y209)+(X213*Y213)+(X217*Y217)</f>
        <v>0.45946423076923071</v>
      </c>
      <c r="Y204" s="2125">
        <v>0.35</v>
      </c>
      <c r="Z204" s="2125">
        <v>0.35</v>
      </c>
      <c r="AA204" s="2125">
        <v>0.35</v>
      </c>
      <c r="AB204" s="2125">
        <v>0.35</v>
      </c>
      <c r="AC204" s="2125">
        <v>0.35</v>
      </c>
      <c r="AD204" s="2119">
        <f>+AD205+AD209+AD213+AD217</f>
        <v>1980224804.9267259</v>
      </c>
      <c r="AE204" s="2119">
        <f>+AE205+AE209+AE213+AE217</f>
        <v>2990700000</v>
      </c>
      <c r="AF204" s="2119">
        <f t="shared" ref="AF204:AK204" si="452">+AF205+AF209+AF213+AF217</f>
        <v>3255575000</v>
      </c>
      <c r="AG204" s="2119">
        <f t="shared" si="452"/>
        <v>4614925000</v>
      </c>
      <c r="AH204" s="2119">
        <f t="shared" si="452"/>
        <v>1916104813.5681758</v>
      </c>
      <c r="AI204" s="2119">
        <f t="shared" si="452"/>
        <v>2975574860.6999998</v>
      </c>
      <c r="AJ204" s="2119">
        <f t="shared" si="452"/>
        <v>0</v>
      </c>
      <c r="AK204" s="2119">
        <f t="shared" si="452"/>
        <v>0</v>
      </c>
      <c r="AL204" s="2126">
        <f t="shared" si="449"/>
        <v>0.96761984235374598</v>
      </c>
      <c r="AM204" s="2126">
        <f t="shared" si="449"/>
        <v>0.99494260898786235</v>
      </c>
      <c r="AN204" s="2126">
        <f t="shared" si="449"/>
        <v>0</v>
      </c>
      <c r="AO204" s="2126">
        <f t="shared" si="449"/>
        <v>0</v>
      </c>
      <c r="AP204" s="2119">
        <f t="shared" ref="AP204:AS204" si="453">+AP205+AP209+AP213+AP217</f>
        <v>1575693226.604444</v>
      </c>
      <c r="AQ204" s="2127">
        <f t="shared" si="453"/>
        <v>2482353297.8600001</v>
      </c>
      <c r="AR204" s="2119">
        <f t="shared" si="453"/>
        <v>0</v>
      </c>
      <c r="AS204" s="2119">
        <f t="shared" si="453"/>
        <v>0</v>
      </c>
      <c r="AT204" s="2126">
        <f t="shared" si="450"/>
        <v>0.79571431621509725</v>
      </c>
      <c r="AU204" s="2126">
        <f t="shared" si="450"/>
        <v>0.83002417422676966</v>
      </c>
      <c r="AV204" s="2126">
        <f t="shared" si="450"/>
        <v>0</v>
      </c>
      <c r="AW204" s="2126">
        <f t="shared" si="450"/>
        <v>0</v>
      </c>
      <c r="AX204" s="2119">
        <f t="shared" ref="AX204:BE204" si="454">+AX205+AX209+AX213+AX217</f>
        <v>340411586.96373206</v>
      </c>
      <c r="AY204" s="2119">
        <f t="shared" si="454"/>
        <v>493221562.84000003</v>
      </c>
      <c r="AZ204" s="2119">
        <f t="shared" si="454"/>
        <v>0</v>
      </c>
      <c r="BA204" s="2119">
        <f t="shared" si="454"/>
        <v>0</v>
      </c>
      <c r="BB204" s="2119">
        <f t="shared" si="454"/>
        <v>0</v>
      </c>
      <c r="BC204" s="2119">
        <f t="shared" si="454"/>
        <v>0</v>
      </c>
      <c r="BD204" s="2119">
        <f t="shared" si="454"/>
        <v>0</v>
      </c>
      <c r="BE204" s="2119">
        <f t="shared" si="454"/>
        <v>0</v>
      </c>
      <c r="BF204" s="2125">
        <f t="shared" si="451"/>
        <v>0</v>
      </c>
      <c r="BG204" s="2125">
        <f t="shared" si="451"/>
        <v>0</v>
      </c>
      <c r="BH204" s="2125" t="e">
        <f t="shared" si="451"/>
        <v>#DIV/0!</v>
      </c>
      <c r="BI204" s="2125" t="e">
        <f t="shared" si="451"/>
        <v>#DIV/0!</v>
      </c>
      <c r="BJ204" s="2119">
        <f t="shared" si="367"/>
        <v>12841424804.926725</v>
      </c>
      <c r="BK204" s="2127">
        <f t="shared" si="368"/>
        <v>4891679674.2681751</v>
      </c>
      <c r="BL204" s="2128">
        <f t="shared" si="365"/>
        <v>0.38092966696276875</v>
      </c>
      <c r="BM204" s="2127">
        <f t="shared" si="366"/>
        <v>4058046524.4644442</v>
      </c>
      <c r="BN204" s="2129">
        <f t="shared" si="347"/>
        <v>0.31601217046472435</v>
      </c>
      <c r="BO204" s="2119"/>
      <c r="BP204" s="2130"/>
      <c r="BQ204" s="2130"/>
      <c r="BR204" s="2130"/>
    </row>
    <row r="205" spans="1:70" ht="12.75" customHeight="1" thickBot="1">
      <c r="A205" s="2081" t="s">
        <v>2658</v>
      </c>
      <c r="B205" s="2081"/>
      <c r="C205" s="2082"/>
      <c r="D205" s="2082"/>
      <c r="E205" s="2083"/>
      <c r="F205" s="2083"/>
      <c r="G205" s="2083"/>
      <c r="H205" s="2083"/>
      <c r="I205" s="2083"/>
      <c r="J205" s="2083"/>
      <c r="K205" s="2083"/>
      <c r="L205" s="2083"/>
      <c r="M205" s="2083"/>
      <c r="N205" s="2083"/>
      <c r="O205" s="2083"/>
      <c r="P205" s="2084">
        <f>+SUMPRODUCT(P206:P208,Z206:Z208)</f>
        <v>1</v>
      </c>
      <c r="Q205" s="2084">
        <f>+SUMPRODUCT(Q206:Q208,AA206:AA208)</f>
        <v>1</v>
      </c>
      <c r="R205" s="2084">
        <f>+SUMPRODUCT(R206:R208,AB206:AB208)</f>
        <v>0</v>
      </c>
      <c r="S205" s="2084">
        <f>+SUMPRODUCT(S206:S208,AC206:AC208)</f>
        <v>0</v>
      </c>
      <c r="T205" s="2087"/>
      <c r="U205" s="2081"/>
      <c r="V205" s="2088"/>
      <c r="W205" s="2089">
        <f t="shared" si="414"/>
        <v>0</v>
      </c>
      <c r="X205" s="2084">
        <f>+SUMPRODUCT(X206:X208,Y206:Y208)</f>
        <v>0.77880000000000005</v>
      </c>
      <c r="Y205" s="2085">
        <v>0.15</v>
      </c>
      <c r="Z205" s="2085">
        <v>0.15</v>
      </c>
      <c r="AA205" s="2085">
        <v>0.15</v>
      </c>
      <c r="AB205" s="2085">
        <v>0.15</v>
      </c>
      <c r="AC205" s="2085">
        <v>0.15</v>
      </c>
      <c r="AD205" s="2082">
        <f>SUM(AD206:AD208)</f>
        <v>344218133.05702293</v>
      </c>
      <c r="AE205" s="2082">
        <f>SUM(AE206:AE208)</f>
        <v>423000000</v>
      </c>
      <c r="AF205" s="2082">
        <f t="shared" ref="AF205:AK205" si="455">SUM(AF206:AF208)</f>
        <v>635000000</v>
      </c>
      <c r="AG205" s="2082">
        <f t="shared" si="455"/>
        <v>725000000</v>
      </c>
      <c r="AH205" s="2082">
        <f t="shared" si="455"/>
        <v>297845048.9946968</v>
      </c>
      <c r="AI205" s="2082">
        <f t="shared" si="455"/>
        <v>422670680</v>
      </c>
      <c r="AJ205" s="2082">
        <f t="shared" si="455"/>
        <v>0</v>
      </c>
      <c r="AK205" s="2082">
        <f t="shared" si="455"/>
        <v>0</v>
      </c>
      <c r="AL205" s="2090">
        <f t="shared" si="449"/>
        <v>0.8652799500988404</v>
      </c>
      <c r="AM205" s="2090">
        <f t="shared" si="449"/>
        <v>0.9992214657210402</v>
      </c>
      <c r="AN205" s="2090">
        <f t="shared" si="449"/>
        <v>0</v>
      </c>
      <c r="AO205" s="2090">
        <f t="shared" si="449"/>
        <v>0</v>
      </c>
      <c r="AP205" s="2082">
        <f t="shared" ref="AP205:AS205" si="456">SUM(AP206:AP208)</f>
        <v>275782528.8562274</v>
      </c>
      <c r="AQ205" s="2091">
        <f t="shared" si="456"/>
        <v>346349218.71000004</v>
      </c>
      <c r="AR205" s="2082">
        <f t="shared" si="456"/>
        <v>0</v>
      </c>
      <c r="AS205" s="2082">
        <f t="shared" si="456"/>
        <v>0</v>
      </c>
      <c r="AT205" s="2090">
        <f t="shared" si="450"/>
        <v>0.80118536001280749</v>
      </c>
      <c r="AU205" s="2090">
        <f t="shared" si="450"/>
        <v>0.8187924792198582</v>
      </c>
      <c r="AV205" s="2090">
        <f t="shared" si="450"/>
        <v>0</v>
      </c>
      <c r="AW205" s="2090">
        <f t="shared" si="450"/>
        <v>0</v>
      </c>
      <c r="AX205" s="2082">
        <f t="shared" ref="AX205:BE205" si="457">SUM(AX206:AX208)</f>
        <v>22062520.138469398</v>
      </c>
      <c r="AY205" s="2082">
        <f t="shared" si="457"/>
        <v>76321461.289999992</v>
      </c>
      <c r="AZ205" s="2082">
        <f t="shared" si="457"/>
        <v>0</v>
      </c>
      <c r="BA205" s="2082">
        <f t="shared" si="457"/>
        <v>0</v>
      </c>
      <c r="BB205" s="2082">
        <f t="shared" si="457"/>
        <v>0</v>
      </c>
      <c r="BC205" s="2082">
        <f t="shared" si="457"/>
        <v>0</v>
      </c>
      <c r="BD205" s="2082">
        <f t="shared" si="457"/>
        <v>0</v>
      </c>
      <c r="BE205" s="2082">
        <f t="shared" si="457"/>
        <v>0</v>
      </c>
      <c r="BF205" s="2085">
        <f t="shared" si="451"/>
        <v>0</v>
      </c>
      <c r="BG205" s="2085">
        <f t="shared" si="451"/>
        <v>0</v>
      </c>
      <c r="BH205" s="2085" t="e">
        <f t="shared" si="451"/>
        <v>#DIV/0!</v>
      </c>
      <c r="BI205" s="2085" t="e">
        <f t="shared" si="451"/>
        <v>#DIV/0!</v>
      </c>
      <c r="BJ205" s="2082">
        <f t="shared" si="367"/>
        <v>2127218133.057023</v>
      </c>
      <c r="BK205" s="2091">
        <f t="shared" si="368"/>
        <v>720515728.99469686</v>
      </c>
      <c r="BL205" s="2092">
        <f t="shared" si="365"/>
        <v>0.33871266787259113</v>
      </c>
      <c r="BM205" s="2091">
        <f t="shared" si="366"/>
        <v>622131747.56622744</v>
      </c>
      <c r="BN205" s="2093">
        <f t="shared" si="347"/>
        <v>0.29246260075461211</v>
      </c>
      <c r="BO205" s="2082"/>
      <c r="BP205" s="2094"/>
      <c r="BQ205" s="2094"/>
      <c r="BR205" s="2094"/>
    </row>
    <row r="206" spans="1:70" ht="12.75" customHeight="1" thickBot="1">
      <c r="A206" s="1851" t="s">
        <v>2659</v>
      </c>
      <c r="B206" s="1867" t="s">
        <v>2660</v>
      </c>
      <c r="C206" s="1274" t="s">
        <v>597</v>
      </c>
      <c r="D206" s="2096">
        <v>0.4</v>
      </c>
      <c r="E206" s="2097">
        <v>0.6</v>
      </c>
      <c r="F206" s="2097">
        <v>0.7</v>
      </c>
      <c r="G206" s="2131">
        <v>0.8</v>
      </c>
      <c r="H206" s="1344">
        <v>0.64400000000000002</v>
      </c>
      <c r="I206" s="1280">
        <v>0.64400000000000002</v>
      </c>
      <c r="J206" s="1030"/>
      <c r="K206" s="1030"/>
      <c r="L206" s="1030"/>
      <c r="M206" s="1031"/>
      <c r="N206" s="1031"/>
      <c r="O206" s="1031"/>
      <c r="P206" s="1032">
        <f t="shared" ref="P206:S208" si="458">IF((H206+L206)/D206&gt;=100%,100%,(H206+L206)/D206)</f>
        <v>1</v>
      </c>
      <c r="Q206" s="1032">
        <f t="shared" si="458"/>
        <v>1</v>
      </c>
      <c r="R206" s="1032">
        <f t="shared" si="458"/>
        <v>0</v>
      </c>
      <c r="S206" s="1032">
        <f t="shared" si="458"/>
        <v>0</v>
      </c>
      <c r="T206" s="1702" t="s">
        <v>2661</v>
      </c>
      <c r="U206" s="1034">
        <v>46022</v>
      </c>
      <c r="V206" s="1035">
        <f t="shared" ref="V206:V208" si="459">SUM(D206:G206)</f>
        <v>2.5</v>
      </c>
      <c r="W206" s="1035">
        <f t="shared" ref="W206:W208" si="460">SUM(H206:N206)</f>
        <v>1.288</v>
      </c>
      <c r="X206" s="1279">
        <f t="shared" si="412"/>
        <v>0.51519999999999999</v>
      </c>
      <c r="Y206" s="1037">
        <v>0.25</v>
      </c>
      <c r="Z206" s="1037">
        <v>0.25</v>
      </c>
      <c r="AA206" s="1037">
        <v>0.25</v>
      </c>
      <c r="AB206" s="1037">
        <v>0.25</v>
      </c>
      <c r="AC206" s="1037">
        <v>0.25</v>
      </c>
      <c r="AD206" s="1137">
        <v>35000000</v>
      </c>
      <c r="AE206" s="1137">
        <v>90000000</v>
      </c>
      <c r="AF206" s="1137">
        <v>200000000</v>
      </c>
      <c r="AG206" s="1137">
        <v>175000000</v>
      </c>
      <c r="AH206" s="1137">
        <v>34999916</v>
      </c>
      <c r="AI206" s="1137">
        <v>89878759</v>
      </c>
      <c r="AJ206" s="1137"/>
      <c r="AK206" s="1137"/>
      <c r="AL206" s="1048">
        <f t="shared" si="449"/>
        <v>0.99999760000000004</v>
      </c>
      <c r="AM206" s="1048">
        <f t="shared" si="449"/>
        <v>0.99865287777777778</v>
      </c>
      <c r="AN206" s="1048">
        <f t="shared" si="449"/>
        <v>0</v>
      </c>
      <c r="AO206" s="1048">
        <f t="shared" si="449"/>
        <v>0</v>
      </c>
      <c r="AP206" s="1283">
        <v>32844455</v>
      </c>
      <c r="AQ206" s="1041">
        <v>87715176.870000005</v>
      </c>
      <c r="AR206" s="1552"/>
      <c r="AS206" s="1042"/>
      <c r="AT206" s="1043">
        <f t="shared" si="450"/>
        <v>0.93841300000000005</v>
      </c>
      <c r="AU206" s="1043">
        <f t="shared" si="450"/>
        <v>0.97461307633333338</v>
      </c>
      <c r="AV206" s="1043">
        <f t="shared" si="450"/>
        <v>0</v>
      </c>
      <c r="AW206" s="1043">
        <f t="shared" si="450"/>
        <v>0</v>
      </c>
      <c r="AX206" s="1044">
        <f t="shared" ref="AX206:BA208" si="461">+AH206-AP206</f>
        <v>2155461</v>
      </c>
      <c r="AY206" s="1044">
        <f t="shared" si="461"/>
        <v>2163582.1299999952</v>
      </c>
      <c r="AZ206" s="1044">
        <f t="shared" si="461"/>
        <v>0</v>
      </c>
      <c r="BA206" s="1044">
        <f t="shared" si="461"/>
        <v>0</v>
      </c>
      <c r="BB206" s="1283"/>
      <c r="BC206" s="1283"/>
      <c r="BD206" s="1283"/>
      <c r="BE206" s="1283"/>
      <c r="BF206" s="1045">
        <f t="shared" si="451"/>
        <v>0</v>
      </c>
      <c r="BG206" s="1045">
        <f t="shared" si="451"/>
        <v>0</v>
      </c>
      <c r="BH206" s="1045" t="e">
        <f t="shared" si="451"/>
        <v>#DIV/0!</v>
      </c>
      <c r="BI206" s="1045" t="e">
        <f t="shared" si="451"/>
        <v>#DIV/0!</v>
      </c>
      <c r="BJ206" s="1283">
        <f t="shared" si="367"/>
        <v>500000000</v>
      </c>
      <c r="BK206" s="1046">
        <f t="shared" si="368"/>
        <v>124878675</v>
      </c>
      <c r="BL206" s="1047">
        <f t="shared" si="365"/>
        <v>0.24975734999999999</v>
      </c>
      <c r="BM206" s="1046">
        <f t="shared" si="366"/>
        <v>120559631.87</v>
      </c>
      <c r="BN206" s="1048">
        <f t="shared" si="347"/>
        <v>0.24111926374000001</v>
      </c>
      <c r="BO206" s="2101"/>
      <c r="BP206" s="1409" t="s">
        <v>2637</v>
      </c>
      <c r="BQ206" s="1794" t="s">
        <v>2193</v>
      </c>
      <c r="BR206" s="1146" t="s">
        <v>596</v>
      </c>
    </row>
    <row r="207" spans="1:70" ht="12.75" customHeight="1" thickBot="1">
      <c r="A207" s="1868" t="s">
        <v>2662</v>
      </c>
      <c r="B207" s="1869" t="s">
        <v>2663</v>
      </c>
      <c r="C207" s="1889" t="s">
        <v>597</v>
      </c>
      <c r="D207" s="2107">
        <v>1</v>
      </c>
      <c r="E207" s="2104">
        <v>1</v>
      </c>
      <c r="F207" s="2104">
        <v>1</v>
      </c>
      <c r="G207" s="2105">
        <v>1</v>
      </c>
      <c r="H207" s="1893">
        <v>1</v>
      </c>
      <c r="I207" s="1514">
        <v>1</v>
      </c>
      <c r="J207" s="1060"/>
      <c r="K207" s="1060"/>
      <c r="L207" s="1060"/>
      <c r="M207" s="1061"/>
      <c r="N207" s="1061"/>
      <c r="O207" s="1061"/>
      <c r="P207" s="1062">
        <f t="shared" si="458"/>
        <v>1</v>
      </c>
      <c r="Q207" s="1062">
        <f t="shared" si="458"/>
        <v>1</v>
      </c>
      <c r="R207" s="1062">
        <f t="shared" si="458"/>
        <v>0</v>
      </c>
      <c r="S207" s="1062">
        <f t="shared" si="458"/>
        <v>0</v>
      </c>
      <c r="T207" s="1669" t="s">
        <v>2664</v>
      </c>
      <c r="U207" s="1034">
        <v>46022</v>
      </c>
      <c r="V207" s="1035">
        <f t="shared" si="459"/>
        <v>4</v>
      </c>
      <c r="W207" s="1035">
        <f t="shared" si="460"/>
        <v>2</v>
      </c>
      <c r="X207" s="1327">
        <f t="shared" si="412"/>
        <v>0.5</v>
      </c>
      <c r="Y207" s="1065">
        <v>0.2</v>
      </c>
      <c r="Z207" s="1065">
        <v>0.2</v>
      </c>
      <c r="AA207" s="1065">
        <v>0.2</v>
      </c>
      <c r="AB207" s="1065">
        <v>0.2</v>
      </c>
      <c r="AC207" s="1065">
        <v>0.2</v>
      </c>
      <c r="AD207" s="1066">
        <v>31500000</v>
      </c>
      <c r="AE207" s="1066">
        <v>90000000</v>
      </c>
      <c r="AF207" s="1066">
        <v>150000000</v>
      </c>
      <c r="AG207" s="1066">
        <v>150000000</v>
      </c>
      <c r="AH207" s="1066">
        <v>0</v>
      </c>
      <c r="AI207" s="1066">
        <v>89896029</v>
      </c>
      <c r="AJ207" s="1066"/>
      <c r="AK207" s="1066"/>
      <c r="AL207" s="1074">
        <f t="shared" si="449"/>
        <v>0</v>
      </c>
      <c r="AM207" s="1074">
        <f t="shared" si="449"/>
        <v>0.99884476666666666</v>
      </c>
      <c r="AN207" s="1074">
        <f t="shared" si="449"/>
        <v>0</v>
      </c>
      <c r="AO207" s="1074">
        <f t="shared" si="449"/>
        <v>0</v>
      </c>
      <c r="AP207" s="1070">
        <v>0</v>
      </c>
      <c r="AQ207" s="1068">
        <v>87751811.870000005</v>
      </c>
      <c r="AR207" s="1560"/>
      <c r="AS207" s="1069"/>
      <c r="AT207" s="1140">
        <f t="shared" si="450"/>
        <v>0</v>
      </c>
      <c r="AU207" s="1140">
        <f t="shared" si="450"/>
        <v>0.97502013188888892</v>
      </c>
      <c r="AV207" s="1140">
        <f t="shared" si="450"/>
        <v>0</v>
      </c>
      <c r="AW207" s="1140">
        <f t="shared" si="450"/>
        <v>0</v>
      </c>
      <c r="AX207" s="1044">
        <f t="shared" si="461"/>
        <v>0</v>
      </c>
      <c r="AY207" s="1044">
        <f t="shared" si="461"/>
        <v>2144217.1299999952</v>
      </c>
      <c r="AZ207" s="1044">
        <f t="shared" si="461"/>
        <v>0</v>
      </c>
      <c r="BA207" s="1044">
        <f t="shared" si="461"/>
        <v>0</v>
      </c>
      <c r="BB207" s="1070"/>
      <c r="BC207" s="1070"/>
      <c r="BD207" s="1070"/>
      <c r="BE207" s="1070"/>
      <c r="BF207" s="1071" t="e">
        <f t="shared" si="451"/>
        <v>#DIV/0!</v>
      </c>
      <c r="BG207" s="1071">
        <f t="shared" si="451"/>
        <v>0</v>
      </c>
      <c r="BH207" s="1071" t="e">
        <f t="shared" si="451"/>
        <v>#DIV/0!</v>
      </c>
      <c r="BI207" s="1071" t="e">
        <f t="shared" si="451"/>
        <v>#DIV/0!</v>
      </c>
      <c r="BJ207" s="1070">
        <f t="shared" si="367"/>
        <v>421500000</v>
      </c>
      <c r="BK207" s="1072">
        <f t="shared" si="368"/>
        <v>89896029</v>
      </c>
      <c r="BL207" s="1073">
        <f t="shared" si="365"/>
        <v>0.21327646263345196</v>
      </c>
      <c r="BM207" s="1072">
        <f t="shared" si="366"/>
        <v>87751811.870000005</v>
      </c>
      <c r="BN207" s="1074">
        <f t="shared" si="347"/>
        <v>0.20818935200474498</v>
      </c>
      <c r="BO207" s="2106"/>
      <c r="BP207" s="1321" t="s">
        <v>2637</v>
      </c>
      <c r="BQ207" s="1873" t="s">
        <v>2193</v>
      </c>
      <c r="BR207" s="1083" t="s">
        <v>596</v>
      </c>
    </row>
    <row r="208" spans="1:70" ht="12.75" customHeight="1" thickBot="1">
      <c r="A208" s="1795" t="s">
        <v>2665</v>
      </c>
      <c r="B208" s="1796" t="s">
        <v>2666</v>
      </c>
      <c r="C208" s="1285" t="s">
        <v>2181</v>
      </c>
      <c r="D208" s="2132">
        <v>1</v>
      </c>
      <c r="E208" s="2133">
        <v>2</v>
      </c>
      <c r="F208" s="2133">
        <v>2</v>
      </c>
      <c r="G208" s="2134">
        <v>2</v>
      </c>
      <c r="H208" s="1634">
        <v>1</v>
      </c>
      <c r="I208" s="1182">
        <v>7</v>
      </c>
      <c r="J208" s="1182"/>
      <c r="K208" s="1182"/>
      <c r="L208" s="1182"/>
      <c r="M208" s="1101"/>
      <c r="N208" s="1101"/>
      <c r="O208" s="1101"/>
      <c r="P208" s="1102">
        <f t="shared" si="458"/>
        <v>1</v>
      </c>
      <c r="Q208" s="1102">
        <f t="shared" si="458"/>
        <v>1</v>
      </c>
      <c r="R208" s="1102">
        <f t="shared" si="458"/>
        <v>0</v>
      </c>
      <c r="S208" s="1102">
        <f t="shared" si="458"/>
        <v>0</v>
      </c>
      <c r="T208" s="1686" t="s">
        <v>2667</v>
      </c>
      <c r="U208" s="1034">
        <v>46022</v>
      </c>
      <c r="V208" s="1035">
        <f t="shared" si="459"/>
        <v>7</v>
      </c>
      <c r="W208" s="1035">
        <f t="shared" si="460"/>
        <v>8</v>
      </c>
      <c r="X208" s="1291">
        <f t="shared" si="412"/>
        <v>1</v>
      </c>
      <c r="Y208" s="1104">
        <v>0.55000000000000004</v>
      </c>
      <c r="Z208" s="1104">
        <v>0.55000000000000004</v>
      </c>
      <c r="AA208" s="1104">
        <v>0.55000000000000004</v>
      </c>
      <c r="AB208" s="1104">
        <v>0.55000000000000004</v>
      </c>
      <c r="AC208" s="1104">
        <v>0.55000000000000004</v>
      </c>
      <c r="AD208" s="1106">
        <f>199500000+78218133.0570229</f>
        <v>277718133.05702293</v>
      </c>
      <c r="AE208" s="1106">
        <v>243000000</v>
      </c>
      <c r="AF208" s="1106">
        <v>285000000</v>
      </c>
      <c r="AG208" s="1106">
        <v>400000000</v>
      </c>
      <c r="AH208" s="1106">
        <f>184627000+78218132.9946968</f>
        <v>262845132.9946968</v>
      </c>
      <c r="AI208" s="1106">
        <v>242895892</v>
      </c>
      <c r="AJ208" s="1106"/>
      <c r="AK208" s="1106"/>
      <c r="AL208" s="1112">
        <f t="shared" si="449"/>
        <v>0.94644570054317512</v>
      </c>
      <c r="AM208" s="1112">
        <f t="shared" si="449"/>
        <v>0.99957157201646085</v>
      </c>
      <c r="AN208" s="1112">
        <f t="shared" si="449"/>
        <v>0</v>
      </c>
      <c r="AO208" s="1112">
        <f t="shared" si="449"/>
        <v>0</v>
      </c>
      <c r="AP208" s="1107">
        <f>175857399+67080674.8562274</f>
        <v>242938073.8562274</v>
      </c>
      <c r="AQ208" s="1187">
        <v>170882229.97</v>
      </c>
      <c r="AR208" s="1567"/>
      <c r="AS208" s="1188"/>
      <c r="AT208" s="1189">
        <f t="shared" si="450"/>
        <v>0.87476489627108989</v>
      </c>
      <c r="AU208" s="1189">
        <f t="shared" si="450"/>
        <v>0.70321905337448554</v>
      </c>
      <c r="AV208" s="1189">
        <f t="shared" si="450"/>
        <v>0</v>
      </c>
      <c r="AW208" s="1189">
        <f t="shared" si="450"/>
        <v>0</v>
      </c>
      <c r="AX208" s="1044">
        <f t="shared" si="461"/>
        <v>19907059.138469398</v>
      </c>
      <c r="AY208" s="1044">
        <f t="shared" si="461"/>
        <v>72013662.030000001</v>
      </c>
      <c r="AZ208" s="1044">
        <f t="shared" si="461"/>
        <v>0</v>
      </c>
      <c r="BA208" s="1044">
        <f t="shared" si="461"/>
        <v>0</v>
      </c>
      <c r="BB208" s="1107"/>
      <c r="BC208" s="1107"/>
      <c r="BD208" s="1107"/>
      <c r="BE208" s="1107"/>
      <c r="BF208" s="1190">
        <f t="shared" si="451"/>
        <v>0</v>
      </c>
      <c r="BG208" s="1190">
        <f t="shared" si="451"/>
        <v>0</v>
      </c>
      <c r="BH208" s="1190" t="e">
        <f t="shared" si="451"/>
        <v>#DIV/0!</v>
      </c>
      <c r="BI208" s="1190" t="e">
        <f t="shared" si="451"/>
        <v>#DIV/0!</v>
      </c>
      <c r="BJ208" s="1107">
        <f t="shared" si="367"/>
        <v>1205718133.057023</v>
      </c>
      <c r="BK208" s="1110">
        <f t="shared" si="368"/>
        <v>505741024.9946968</v>
      </c>
      <c r="BL208" s="1111">
        <f t="shared" si="365"/>
        <v>0.41945211830929507</v>
      </c>
      <c r="BM208" s="1110">
        <f t="shared" si="366"/>
        <v>413820303.82622743</v>
      </c>
      <c r="BN208" s="1112">
        <f t="shared" si="347"/>
        <v>0.34321479662664761</v>
      </c>
      <c r="BO208" s="2106" t="s">
        <v>2653</v>
      </c>
      <c r="BP208" s="2116" t="s">
        <v>596</v>
      </c>
      <c r="BQ208" s="1803" t="s">
        <v>2193</v>
      </c>
      <c r="BR208" s="1191" t="s">
        <v>596</v>
      </c>
    </row>
    <row r="209" spans="1:70" ht="12.75" customHeight="1" thickBot="1">
      <c r="A209" s="2135" t="s">
        <v>2668</v>
      </c>
      <c r="B209" s="2135"/>
      <c r="C209" s="2136"/>
      <c r="D209" s="2136"/>
      <c r="E209" s="2137"/>
      <c r="F209" s="2137"/>
      <c r="G209" s="2137"/>
      <c r="H209" s="2137"/>
      <c r="I209" s="2137"/>
      <c r="J209" s="2137"/>
      <c r="K209" s="2137"/>
      <c r="L209" s="2137"/>
      <c r="M209" s="2137"/>
      <c r="N209" s="2137"/>
      <c r="O209" s="2137"/>
      <c r="P209" s="2138">
        <f>+SUMPRODUCT(P210:P212,Z210:Z212)</f>
        <v>1</v>
      </c>
      <c r="Q209" s="2138">
        <f t="shared" ref="Q209:S209" si="462">+SUMPRODUCT(Q210:Q212,AA210:AA212)</f>
        <v>1</v>
      </c>
      <c r="R209" s="2138">
        <f t="shared" si="462"/>
        <v>0</v>
      </c>
      <c r="S209" s="2138">
        <f t="shared" si="462"/>
        <v>0</v>
      </c>
      <c r="T209" s="2139"/>
      <c r="U209" s="2135"/>
      <c r="V209" s="2140"/>
      <c r="W209" s="2141">
        <f t="shared" si="414"/>
        <v>0</v>
      </c>
      <c r="X209" s="2138">
        <f>+SUMPRODUCT(X210:X212,Y210:Y212)</f>
        <v>0.36249999999999999</v>
      </c>
      <c r="Y209" s="2142">
        <v>0.15</v>
      </c>
      <c r="Z209" s="2142">
        <v>0.15</v>
      </c>
      <c r="AA209" s="2142">
        <v>0.15</v>
      </c>
      <c r="AB209" s="2142">
        <v>0.15</v>
      </c>
      <c r="AC209" s="2142">
        <v>0.15</v>
      </c>
      <c r="AD209" s="2136">
        <f>SUM(AD210:AD212)</f>
        <v>388215939.5379957</v>
      </c>
      <c r="AE209" s="2136">
        <f>SUM(AE210:AE212)</f>
        <v>405000000</v>
      </c>
      <c r="AF209" s="2136">
        <f t="shared" ref="AF209:AG209" si="463">SUM(AF210:AF212)</f>
        <v>693500000</v>
      </c>
      <c r="AG209" s="2136">
        <f t="shared" si="463"/>
        <v>800000000</v>
      </c>
      <c r="AH209" s="2136">
        <f>SUM(AH210:AH212)</f>
        <v>388215939.46770322</v>
      </c>
      <c r="AI209" s="2136">
        <f t="shared" ref="AI209:AK209" si="464">SUM(AI210:AI212)</f>
        <v>404653598</v>
      </c>
      <c r="AJ209" s="2136">
        <f t="shared" si="464"/>
        <v>0</v>
      </c>
      <c r="AK209" s="2136">
        <f t="shared" si="464"/>
        <v>0</v>
      </c>
      <c r="AL209" s="2143">
        <f t="shared" si="449"/>
        <v>0.99999999981893462</v>
      </c>
      <c r="AM209" s="2143">
        <f t="shared" si="449"/>
        <v>0.99914468641975307</v>
      </c>
      <c r="AN209" s="2143">
        <f t="shared" si="449"/>
        <v>0</v>
      </c>
      <c r="AO209" s="2143">
        <f t="shared" si="449"/>
        <v>0</v>
      </c>
      <c r="AP209" s="2136">
        <f t="shared" ref="AP209:AS209" si="465">SUM(AP210:AP212)</f>
        <v>357589696.45439184</v>
      </c>
      <c r="AQ209" s="2144">
        <f t="shared" si="465"/>
        <v>399137056.31</v>
      </c>
      <c r="AR209" s="2136">
        <f t="shared" si="465"/>
        <v>0</v>
      </c>
      <c r="AS209" s="2136">
        <f t="shared" si="465"/>
        <v>0</v>
      </c>
      <c r="AT209" s="2143">
        <f t="shared" si="450"/>
        <v>0.92111028949493612</v>
      </c>
      <c r="AU209" s="2143">
        <f t="shared" si="450"/>
        <v>0.98552359582716054</v>
      </c>
      <c r="AV209" s="2143">
        <f t="shared" si="450"/>
        <v>0</v>
      </c>
      <c r="AW209" s="2143">
        <f t="shared" si="450"/>
        <v>0</v>
      </c>
      <c r="AX209" s="2136">
        <f t="shared" ref="AX209:BE209" si="466">SUM(AX210:AX212)</f>
        <v>30626243.013311386</v>
      </c>
      <c r="AY209" s="2136">
        <f t="shared" si="466"/>
        <v>5516541.6899999976</v>
      </c>
      <c r="AZ209" s="2136">
        <f t="shared" si="466"/>
        <v>0</v>
      </c>
      <c r="BA209" s="2136">
        <f t="shared" si="466"/>
        <v>0</v>
      </c>
      <c r="BB209" s="2136">
        <f t="shared" si="466"/>
        <v>0</v>
      </c>
      <c r="BC209" s="2136">
        <f t="shared" si="466"/>
        <v>0</v>
      </c>
      <c r="BD209" s="2136">
        <f t="shared" si="466"/>
        <v>0</v>
      </c>
      <c r="BE209" s="2136">
        <f t="shared" si="466"/>
        <v>0</v>
      </c>
      <c r="BF209" s="2142">
        <f t="shared" si="451"/>
        <v>0</v>
      </c>
      <c r="BG209" s="2142">
        <f t="shared" si="451"/>
        <v>0</v>
      </c>
      <c r="BH209" s="2142" t="e">
        <f t="shared" si="451"/>
        <v>#DIV/0!</v>
      </c>
      <c r="BI209" s="2142" t="e">
        <f t="shared" si="451"/>
        <v>#DIV/0!</v>
      </c>
      <c r="BJ209" s="2136">
        <f t="shared" si="367"/>
        <v>2286715939.5379958</v>
      </c>
      <c r="BK209" s="2144">
        <f t="shared" si="368"/>
        <v>792869537.46770322</v>
      </c>
      <c r="BL209" s="2145">
        <f t="shared" si="365"/>
        <v>0.3467284780583168</v>
      </c>
      <c r="BM209" s="2144">
        <f t="shared" si="366"/>
        <v>756726752.7643919</v>
      </c>
      <c r="BN209" s="2146">
        <f t="shared" si="347"/>
        <v>0.33092293611128615</v>
      </c>
      <c r="BO209" s="2136"/>
      <c r="BP209" s="2147"/>
      <c r="BQ209" s="2147"/>
      <c r="BR209" s="2147"/>
    </row>
    <row r="210" spans="1:70" ht="12.75" customHeight="1" thickBot="1">
      <c r="A210" s="1851" t="s">
        <v>2669</v>
      </c>
      <c r="B210" s="1867" t="s">
        <v>2670</v>
      </c>
      <c r="C210" s="1025" t="s">
        <v>2181</v>
      </c>
      <c r="D210" s="2148">
        <v>4</v>
      </c>
      <c r="E210" s="2098">
        <v>4</v>
      </c>
      <c r="F210" s="2098">
        <v>4</v>
      </c>
      <c r="G210" s="2149">
        <v>4</v>
      </c>
      <c r="H210" s="1627">
        <v>4</v>
      </c>
      <c r="I210" s="1030">
        <v>4</v>
      </c>
      <c r="J210" s="1030"/>
      <c r="K210" s="1030"/>
      <c r="L210" s="1030"/>
      <c r="M210" s="1031"/>
      <c r="N210" s="1031"/>
      <c r="O210" s="1031"/>
      <c r="P210" s="1032">
        <f t="shared" ref="P210:S212" si="467">IF((H210+L210)/D210&gt;=100%,100%,(H210+L210)/D210)</f>
        <v>1</v>
      </c>
      <c r="Q210" s="1032">
        <f t="shared" si="467"/>
        <v>1</v>
      </c>
      <c r="R210" s="1032">
        <f t="shared" si="467"/>
        <v>0</v>
      </c>
      <c r="S210" s="1032">
        <f t="shared" si="467"/>
        <v>0</v>
      </c>
      <c r="T210" s="1702" t="s">
        <v>2671</v>
      </c>
      <c r="U210" s="1034">
        <v>46022</v>
      </c>
      <c r="V210" s="1035">
        <f t="shared" ref="V210:V212" si="468">SUM(D210:G210)</f>
        <v>16</v>
      </c>
      <c r="W210" s="1035">
        <f t="shared" ref="W210:W212" si="469">SUM(H210:N210)</f>
        <v>8</v>
      </c>
      <c r="X210" s="1279">
        <f t="shared" si="412"/>
        <v>0.5</v>
      </c>
      <c r="Y210" s="1037">
        <v>0.35</v>
      </c>
      <c r="Z210" s="1037">
        <v>0.6</v>
      </c>
      <c r="AA210" s="1037">
        <v>0.6</v>
      </c>
      <c r="AB210" s="1037">
        <v>0.6</v>
      </c>
      <c r="AC210" s="1037">
        <v>0.6</v>
      </c>
      <c r="AD210" s="1137">
        <f>150000000+(88215939.5379957/2)</f>
        <v>194107969.76899785</v>
      </c>
      <c r="AE210" s="1137">
        <v>202500000</v>
      </c>
      <c r="AF210" s="1137">
        <v>231166666.66666666</v>
      </c>
      <c r="AG210" s="1137">
        <v>266666666.66666666</v>
      </c>
      <c r="AH210" s="1137">
        <f>150000000+(88215939.4677032/2)</f>
        <v>194107969.73385161</v>
      </c>
      <c r="AI210" s="1137">
        <f>404653598/2</f>
        <v>202326799</v>
      </c>
      <c r="AJ210" s="1137"/>
      <c r="AK210" s="1137"/>
      <c r="AL210" s="1039">
        <f t="shared" si="449"/>
        <v>0.99999999981893462</v>
      </c>
      <c r="AM210" s="1039">
        <f t="shared" si="449"/>
        <v>0.99914468641975307</v>
      </c>
      <c r="AN210" s="1039">
        <f t="shared" si="449"/>
        <v>0</v>
      </c>
      <c r="AO210" s="1039">
        <f t="shared" si="449"/>
        <v>0</v>
      </c>
      <c r="AP210" s="1138">
        <f>281934800/2+(75654896.4543918/2)</f>
        <v>178794848.22719592</v>
      </c>
      <c r="AQ210" s="1041">
        <f>399137056.31/2</f>
        <v>199568528.155</v>
      </c>
      <c r="AR210" s="1552"/>
      <c r="AS210" s="1042"/>
      <c r="AT210" s="1043">
        <f t="shared" si="450"/>
        <v>0.92111028949493612</v>
      </c>
      <c r="AU210" s="1043">
        <f t="shared" si="450"/>
        <v>0.98552359582716054</v>
      </c>
      <c r="AV210" s="1043">
        <f t="shared" si="450"/>
        <v>0</v>
      </c>
      <c r="AW210" s="1043">
        <f t="shared" si="450"/>
        <v>0</v>
      </c>
      <c r="AX210" s="1044">
        <f t="shared" ref="AX210:BA212" si="470">+AH210-AP210</f>
        <v>15313121.506655693</v>
      </c>
      <c r="AY210" s="1044">
        <f t="shared" si="470"/>
        <v>2758270.8449999988</v>
      </c>
      <c r="AZ210" s="1044">
        <f t="shared" si="470"/>
        <v>0</v>
      </c>
      <c r="BA210" s="1044">
        <f t="shared" si="470"/>
        <v>0</v>
      </c>
      <c r="BB210" s="1283"/>
      <c r="BC210" s="1283"/>
      <c r="BD210" s="1283"/>
      <c r="BE210" s="1283"/>
      <c r="BF210" s="1045">
        <f t="shared" si="451"/>
        <v>0</v>
      </c>
      <c r="BG210" s="1045">
        <f t="shared" si="451"/>
        <v>0</v>
      </c>
      <c r="BH210" s="1045" t="e">
        <f t="shared" si="451"/>
        <v>#DIV/0!</v>
      </c>
      <c r="BI210" s="1045" t="e">
        <f t="shared" si="451"/>
        <v>#DIV/0!</v>
      </c>
      <c r="BJ210" s="1283">
        <f t="shared" si="367"/>
        <v>894441303.10233116</v>
      </c>
      <c r="BK210" s="1046">
        <f t="shared" si="368"/>
        <v>396434768.73385161</v>
      </c>
      <c r="BL210" s="1047">
        <f t="shared" si="365"/>
        <v>0.44322055271691352</v>
      </c>
      <c r="BM210" s="1046">
        <f t="shared" si="366"/>
        <v>378363376.38219595</v>
      </c>
      <c r="BN210" s="1048">
        <f t="shared" si="347"/>
        <v>0.42301644062037258</v>
      </c>
      <c r="BO210" s="2106" t="s">
        <v>2653</v>
      </c>
      <c r="BP210" s="2150" t="s">
        <v>596</v>
      </c>
      <c r="BQ210" s="1794" t="s">
        <v>2193</v>
      </c>
      <c r="BR210" s="1146" t="s">
        <v>596</v>
      </c>
    </row>
    <row r="211" spans="1:70" ht="12.75" customHeight="1" thickBot="1">
      <c r="A211" s="1868" t="s">
        <v>2672</v>
      </c>
      <c r="B211" s="1869" t="s">
        <v>2673</v>
      </c>
      <c r="C211" s="1554" t="s">
        <v>597</v>
      </c>
      <c r="D211" s="2107">
        <v>0.8</v>
      </c>
      <c r="E211" s="2104">
        <v>0.8</v>
      </c>
      <c r="F211" s="2104">
        <v>0.8</v>
      </c>
      <c r="G211" s="2105">
        <v>0.8</v>
      </c>
      <c r="H211" s="1893">
        <v>1</v>
      </c>
      <c r="I211" s="1514">
        <v>1</v>
      </c>
      <c r="J211" s="1060"/>
      <c r="K211" s="1060"/>
      <c r="L211" s="1060"/>
      <c r="M211" s="1061"/>
      <c r="N211" s="1061"/>
      <c r="O211" s="1061"/>
      <c r="P211" s="1062">
        <f t="shared" si="467"/>
        <v>1</v>
      </c>
      <c r="Q211" s="1062">
        <f t="shared" si="467"/>
        <v>1</v>
      </c>
      <c r="R211" s="1062">
        <f t="shared" si="467"/>
        <v>0</v>
      </c>
      <c r="S211" s="1062">
        <f t="shared" si="467"/>
        <v>0</v>
      </c>
      <c r="T211" s="2151" t="s">
        <v>2674</v>
      </c>
      <c r="U211" s="1034">
        <v>46022</v>
      </c>
      <c r="V211" s="1035">
        <f t="shared" si="468"/>
        <v>3.2</v>
      </c>
      <c r="W211" s="1035">
        <f t="shared" si="469"/>
        <v>2</v>
      </c>
      <c r="X211" s="1327">
        <f t="shared" si="412"/>
        <v>0.625</v>
      </c>
      <c r="Y211" s="1065">
        <v>0.3</v>
      </c>
      <c r="Z211" s="1065">
        <v>0.4</v>
      </c>
      <c r="AA211" s="1065">
        <v>0.4</v>
      </c>
      <c r="AB211" s="1065">
        <v>0.4</v>
      </c>
      <c r="AC211" s="1065">
        <v>0.4</v>
      </c>
      <c r="AD211" s="1066">
        <f>150000000+(88215939.5379957/2)</f>
        <v>194107969.76899785</v>
      </c>
      <c r="AE211" s="1137">
        <v>202500000</v>
      </c>
      <c r="AF211" s="1137">
        <v>231166666.66666666</v>
      </c>
      <c r="AG211" s="1137">
        <v>266666666.66666666</v>
      </c>
      <c r="AH211" s="1066">
        <f>150000000+(88215939.4677032/2)</f>
        <v>194107969.73385161</v>
      </c>
      <c r="AI211" s="1137">
        <f>404653598/2</f>
        <v>202326799</v>
      </c>
      <c r="AJ211" s="1137"/>
      <c r="AK211" s="1137"/>
      <c r="AL211" s="1173">
        <f t="shared" si="449"/>
        <v>0.99999999981893462</v>
      </c>
      <c r="AM211" s="1173">
        <f t="shared" si="449"/>
        <v>0.99914468641975307</v>
      </c>
      <c r="AN211" s="1173">
        <f t="shared" si="449"/>
        <v>0</v>
      </c>
      <c r="AO211" s="1173">
        <f t="shared" si="449"/>
        <v>0</v>
      </c>
      <c r="AP211" s="1138">
        <f>281934800/2+(75654896.4543918/2)</f>
        <v>178794848.22719592</v>
      </c>
      <c r="AQ211" s="1041">
        <f>399137056.31/2</f>
        <v>199568528.155</v>
      </c>
      <c r="AR211" s="1560"/>
      <c r="AS211" s="1069"/>
      <c r="AT211" s="1140">
        <f t="shared" si="450"/>
        <v>0.92111028949493612</v>
      </c>
      <c r="AU211" s="1140">
        <f t="shared" si="450"/>
        <v>0.98552359582716054</v>
      </c>
      <c r="AV211" s="1140">
        <f t="shared" si="450"/>
        <v>0</v>
      </c>
      <c r="AW211" s="1140">
        <f t="shared" si="450"/>
        <v>0</v>
      </c>
      <c r="AX211" s="1044">
        <f t="shared" si="470"/>
        <v>15313121.506655693</v>
      </c>
      <c r="AY211" s="1044">
        <f t="shared" si="470"/>
        <v>2758270.8449999988</v>
      </c>
      <c r="AZ211" s="1044">
        <f t="shared" si="470"/>
        <v>0</v>
      </c>
      <c r="BA211" s="1044">
        <f t="shared" si="470"/>
        <v>0</v>
      </c>
      <c r="BB211" s="1070"/>
      <c r="BC211" s="1070"/>
      <c r="BD211" s="1070"/>
      <c r="BE211" s="1070"/>
      <c r="BF211" s="1071">
        <f t="shared" si="451"/>
        <v>0</v>
      </c>
      <c r="BG211" s="1071">
        <f t="shared" si="451"/>
        <v>0</v>
      </c>
      <c r="BH211" s="1071" t="e">
        <f t="shared" si="451"/>
        <v>#DIV/0!</v>
      </c>
      <c r="BI211" s="1071" t="e">
        <f t="shared" si="451"/>
        <v>#DIV/0!</v>
      </c>
      <c r="BJ211" s="1070">
        <f t="shared" si="367"/>
        <v>894441303.10233116</v>
      </c>
      <c r="BK211" s="1072">
        <f t="shared" si="368"/>
        <v>396434768.73385161</v>
      </c>
      <c r="BL211" s="1073">
        <f t="shared" si="365"/>
        <v>0.44322055271691352</v>
      </c>
      <c r="BM211" s="1072">
        <f t="shared" si="366"/>
        <v>378363376.38219595</v>
      </c>
      <c r="BN211" s="1074">
        <f t="shared" si="347"/>
        <v>0.42301644062037258</v>
      </c>
      <c r="BO211" s="2106" t="s">
        <v>2653</v>
      </c>
      <c r="BP211" s="1321" t="s">
        <v>2637</v>
      </c>
      <c r="BQ211" s="1873" t="s">
        <v>2193</v>
      </c>
      <c r="BR211" s="1083" t="s">
        <v>596</v>
      </c>
    </row>
    <row r="212" spans="1:70" ht="12.75" customHeight="1" thickBot="1">
      <c r="A212" s="1856" t="s">
        <v>2675</v>
      </c>
      <c r="B212" s="1796" t="s">
        <v>2676</v>
      </c>
      <c r="C212" s="1285" t="s">
        <v>2181</v>
      </c>
      <c r="D212" s="2132">
        <v>0</v>
      </c>
      <c r="E212" s="2133">
        <v>0</v>
      </c>
      <c r="F212" s="2133">
        <v>1</v>
      </c>
      <c r="G212" s="2134">
        <v>1</v>
      </c>
      <c r="H212" s="1634"/>
      <c r="I212" s="1182"/>
      <c r="J212" s="1182"/>
      <c r="K212" s="1182"/>
      <c r="L212" s="1182"/>
      <c r="M212" s="1101"/>
      <c r="N212" s="1101"/>
      <c r="O212" s="1101"/>
      <c r="P212" s="1102"/>
      <c r="Q212" s="1102"/>
      <c r="R212" s="1102">
        <f t="shared" si="467"/>
        <v>0</v>
      </c>
      <c r="S212" s="1102">
        <f t="shared" si="467"/>
        <v>0</v>
      </c>
      <c r="T212" s="2152"/>
      <c r="U212" s="1034">
        <v>46022</v>
      </c>
      <c r="V212" s="1035">
        <f t="shared" si="468"/>
        <v>2</v>
      </c>
      <c r="W212" s="1035">
        <f t="shared" si="469"/>
        <v>0</v>
      </c>
      <c r="X212" s="1291">
        <f t="shared" si="412"/>
        <v>0</v>
      </c>
      <c r="Y212" s="1104">
        <v>0.35</v>
      </c>
      <c r="Z212" s="1104">
        <v>0</v>
      </c>
      <c r="AA212" s="1104">
        <v>0</v>
      </c>
      <c r="AB212" s="1104">
        <v>0</v>
      </c>
      <c r="AC212" s="1104">
        <v>0</v>
      </c>
      <c r="AD212" s="1106">
        <v>0</v>
      </c>
      <c r="AE212" s="1106">
        <v>0</v>
      </c>
      <c r="AF212" s="1106">
        <v>231166666.66666666</v>
      </c>
      <c r="AG212" s="1106">
        <v>266666666.66666666</v>
      </c>
      <c r="AH212" s="1113">
        <v>0</v>
      </c>
      <c r="AI212" s="1113"/>
      <c r="AJ212" s="1113"/>
      <c r="AK212" s="1113"/>
      <c r="AL212" s="1112" t="e">
        <f t="shared" si="449"/>
        <v>#DIV/0!</v>
      </c>
      <c r="AM212" s="1112" t="e">
        <f t="shared" si="449"/>
        <v>#DIV/0!</v>
      </c>
      <c r="AN212" s="1112">
        <f t="shared" si="449"/>
        <v>0</v>
      </c>
      <c r="AO212" s="1112">
        <f t="shared" si="449"/>
        <v>0</v>
      </c>
      <c r="AP212" s="1109">
        <v>0</v>
      </c>
      <c r="AQ212" s="1187"/>
      <c r="AR212" s="1567"/>
      <c r="AS212" s="1188"/>
      <c r="AT212" s="1140" t="e">
        <f t="shared" si="450"/>
        <v>#DIV/0!</v>
      </c>
      <c r="AU212" s="1140" t="e">
        <f t="shared" si="450"/>
        <v>#DIV/0!</v>
      </c>
      <c r="AV212" s="1140">
        <f t="shared" si="450"/>
        <v>0</v>
      </c>
      <c r="AW212" s="1140">
        <f t="shared" si="450"/>
        <v>0</v>
      </c>
      <c r="AX212" s="1044">
        <f t="shared" si="470"/>
        <v>0</v>
      </c>
      <c r="AY212" s="1044">
        <f t="shared" si="470"/>
        <v>0</v>
      </c>
      <c r="AZ212" s="1044">
        <f t="shared" si="470"/>
        <v>0</v>
      </c>
      <c r="BA212" s="1044">
        <f t="shared" si="470"/>
        <v>0</v>
      </c>
      <c r="BB212" s="1113"/>
      <c r="BC212" s="1113"/>
      <c r="BD212" s="1113"/>
      <c r="BE212" s="1113"/>
      <c r="BF212" s="1190" t="e">
        <f t="shared" si="451"/>
        <v>#DIV/0!</v>
      </c>
      <c r="BG212" s="1190" t="e">
        <f t="shared" si="451"/>
        <v>#DIV/0!</v>
      </c>
      <c r="BH212" s="1190" t="e">
        <f t="shared" si="451"/>
        <v>#DIV/0!</v>
      </c>
      <c r="BI212" s="1190" t="e">
        <f t="shared" si="451"/>
        <v>#DIV/0!</v>
      </c>
      <c r="BJ212" s="1113">
        <f t="shared" si="367"/>
        <v>497833333.33333331</v>
      </c>
      <c r="BK212" s="1484">
        <f t="shared" si="368"/>
        <v>0</v>
      </c>
      <c r="BL212" s="1485">
        <f t="shared" si="365"/>
        <v>0</v>
      </c>
      <c r="BM212" s="1484">
        <f t="shared" si="366"/>
        <v>0</v>
      </c>
      <c r="BN212" s="1486">
        <f t="shared" ref="BN212:BN275" si="471">+BM212/BJ212</f>
        <v>0</v>
      </c>
      <c r="BO212" s="2153"/>
      <c r="BP212" s="1435" t="s">
        <v>2637</v>
      </c>
      <c r="BQ212" s="1803" t="s">
        <v>2193</v>
      </c>
      <c r="BR212" s="1191" t="s">
        <v>596</v>
      </c>
    </row>
    <row r="213" spans="1:70" ht="12.75" customHeight="1" thickBot="1">
      <c r="A213" s="2135" t="s">
        <v>2677</v>
      </c>
      <c r="B213" s="2135"/>
      <c r="C213" s="2136"/>
      <c r="D213" s="2136"/>
      <c r="E213" s="2137"/>
      <c r="F213" s="2137"/>
      <c r="G213" s="2137"/>
      <c r="H213" s="2137"/>
      <c r="I213" s="2137"/>
      <c r="J213" s="2137"/>
      <c r="K213" s="2137"/>
      <c r="L213" s="2137"/>
      <c r="M213" s="2137"/>
      <c r="N213" s="2137"/>
      <c r="O213" s="2137"/>
      <c r="P213" s="2138">
        <f>+SUMPRODUCT(P214:P216,Z214:Z216)</f>
        <v>1</v>
      </c>
      <c r="Q213" s="2138">
        <f t="shared" ref="Q213:S213" si="472">+SUMPRODUCT(Q214:Q216,AA214:AA216)</f>
        <v>1</v>
      </c>
      <c r="R213" s="2138">
        <f t="shared" si="472"/>
        <v>0</v>
      </c>
      <c r="S213" s="2138">
        <f t="shared" si="472"/>
        <v>0</v>
      </c>
      <c r="T213" s="2139"/>
      <c r="U213" s="2135"/>
      <c r="V213" s="2140"/>
      <c r="W213" s="2141">
        <f t="shared" si="414"/>
        <v>0</v>
      </c>
      <c r="X213" s="2138">
        <f>+SUMPRODUCT(X214:X216,Y214:Y216)</f>
        <v>0.46160714285714283</v>
      </c>
      <c r="Y213" s="2142">
        <v>0.35</v>
      </c>
      <c r="Z213" s="2142">
        <v>0.35</v>
      </c>
      <c r="AA213" s="2142">
        <v>0.35</v>
      </c>
      <c r="AB213" s="2142">
        <v>0.35</v>
      </c>
      <c r="AC213" s="2142">
        <v>0.35</v>
      </c>
      <c r="AD213" s="2136">
        <f>SUM(AD214:AD216)</f>
        <v>473299932.95340598</v>
      </c>
      <c r="AE213" s="2136">
        <f>SUM(AE214:AE216)</f>
        <v>1215000000</v>
      </c>
      <c r="AF213" s="2136">
        <f t="shared" ref="AF213:AK213" si="473">SUM(AF214:AF216)</f>
        <v>760000000</v>
      </c>
      <c r="AG213" s="2136">
        <f t="shared" si="473"/>
        <v>1800000000</v>
      </c>
      <c r="AH213" s="2136">
        <f t="shared" si="473"/>
        <v>463445432.86770797</v>
      </c>
      <c r="AI213" s="2136">
        <f t="shared" si="473"/>
        <v>1209702618.7</v>
      </c>
      <c r="AJ213" s="2136">
        <f t="shared" si="473"/>
        <v>0</v>
      </c>
      <c r="AK213" s="2136">
        <f t="shared" si="473"/>
        <v>0</v>
      </c>
      <c r="AL213" s="2143">
        <f t="shared" si="449"/>
        <v>0.97917916441651354</v>
      </c>
      <c r="AM213" s="2143">
        <f t="shared" si="449"/>
        <v>0.99564001539094649</v>
      </c>
      <c r="AN213" s="2143">
        <f t="shared" si="449"/>
        <v>0</v>
      </c>
      <c r="AO213" s="2143">
        <f t="shared" si="449"/>
        <v>0</v>
      </c>
      <c r="AP213" s="2136">
        <f t="shared" ref="AP213:AS213" si="474">SUM(AP214:AP216)</f>
        <v>424098825.86731267</v>
      </c>
      <c r="AQ213" s="2144">
        <f t="shared" si="474"/>
        <v>896625961.11000001</v>
      </c>
      <c r="AR213" s="2136">
        <f t="shared" si="474"/>
        <v>0</v>
      </c>
      <c r="AS213" s="2136">
        <f t="shared" si="474"/>
        <v>0</v>
      </c>
      <c r="AT213" s="2143">
        <f t="shared" si="450"/>
        <v>0.89604666373164921</v>
      </c>
      <c r="AU213" s="2143">
        <f t="shared" si="450"/>
        <v>0.73796375400000003</v>
      </c>
      <c r="AV213" s="2143">
        <f t="shared" si="450"/>
        <v>0</v>
      </c>
      <c r="AW213" s="2143">
        <f t="shared" si="450"/>
        <v>0</v>
      </c>
      <c r="AX213" s="2136">
        <f t="shared" ref="AX213:BE213" si="475">SUM(AX214:AX216)</f>
        <v>39346607.000395298</v>
      </c>
      <c r="AY213" s="2136">
        <f t="shared" si="475"/>
        <v>313076657.59000003</v>
      </c>
      <c r="AZ213" s="2136">
        <f t="shared" si="475"/>
        <v>0</v>
      </c>
      <c r="BA213" s="2136">
        <f t="shared" si="475"/>
        <v>0</v>
      </c>
      <c r="BB213" s="2136">
        <f t="shared" si="475"/>
        <v>0</v>
      </c>
      <c r="BC213" s="2136">
        <f t="shared" si="475"/>
        <v>0</v>
      </c>
      <c r="BD213" s="2136">
        <f t="shared" si="475"/>
        <v>0</v>
      </c>
      <c r="BE213" s="2136">
        <f t="shared" si="475"/>
        <v>0</v>
      </c>
      <c r="BF213" s="2142">
        <f t="shared" si="451"/>
        <v>0</v>
      </c>
      <c r="BG213" s="2142">
        <f t="shared" si="451"/>
        <v>0</v>
      </c>
      <c r="BH213" s="2142" t="e">
        <f t="shared" si="451"/>
        <v>#DIV/0!</v>
      </c>
      <c r="BI213" s="2142" t="e">
        <f t="shared" si="451"/>
        <v>#DIV/0!</v>
      </c>
      <c r="BJ213" s="2136">
        <f t="shared" si="367"/>
        <v>4248299932.9534059</v>
      </c>
      <c r="BK213" s="2144">
        <f t="shared" si="368"/>
        <v>1673148051.567708</v>
      </c>
      <c r="BL213" s="2145">
        <f t="shared" si="365"/>
        <v>0.3938394364741899</v>
      </c>
      <c r="BM213" s="2144">
        <f t="shared" si="366"/>
        <v>1320724786.9773126</v>
      </c>
      <c r="BN213" s="2146">
        <f t="shared" si="471"/>
        <v>0.31088313156344133</v>
      </c>
      <c r="BO213" s="2136"/>
      <c r="BP213" s="2154"/>
      <c r="BQ213" s="2147"/>
      <c r="BR213" s="2147"/>
    </row>
    <row r="214" spans="1:70" ht="12.75" customHeight="1" thickBot="1">
      <c r="A214" s="1851" t="s">
        <v>2678</v>
      </c>
      <c r="B214" s="1867" t="s">
        <v>2679</v>
      </c>
      <c r="C214" s="1274" t="s">
        <v>597</v>
      </c>
      <c r="D214" s="2096">
        <v>0.2</v>
      </c>
      <c r="E214" s="2097">
        <v>0.3</v>
      </c>
      <c r="F214" s="2097">
        <v>0.4</v>
      </c>
      <c r="G214" s="2131">
        <v>0.5</v>
      </c>
      <c r="H214" s="1344">
        <v>0.2</v>
      </c>
      <c r="I214" s="1280">
        <v>0.3</v>
      </c>
      <c r="J214" s="1030"/>
      <c r="K214" s="1030"/>
      <c r="L214" s="1030"/>
      <c r="M214" s="1031"/>
      <c r="N214" s="1031"/>
      <c r="O214" s="1031"/>
      <c r="P214" s="1032">
        <f t="shared" ref="P214:S216" si="476">IF((H214+L214)/D214&gt;=100%,100%,(H214+L214)/D214)</f>
        <v>1</v>
      </c>
      <c r="Q214" s="1032">
        <f t="shared" si="476"/>
        <v>1</v>
      </c>
      <c r="R214" s="1032">
        <f t="shared" si="476"/>
        <v>0</v>
      </c>
      <c r="S214" s="1032">
        <f t="shared" si="476"/>
        <v>0</v>
      </c>
      <c r="T214" s="2155" t="s">
        <v>2680</v>
      </c>
      <c r="U214" s="1034">
        <v>46022</v>
      </c>
      <c r="V214" s="1035">
        <f t="shared" ref="V214:V216" si="477">SUM(D214:G214)</f>
        <v>1.4</v>
      </c>
      <c r="W214" s="1035">
        <f t="shared" ref="W214:W216" si="478">SUM(H214:N214)</f>
        <v>0.5</v>
      </c>
      <c r="X214" s="1279">
        <f t="shared" si="412"/>
        <v>0.35714285714285715</v>
      </c>
      <c r="Y214" s="1037">
        <v>0.4</v>
      </c>
      <c r="Z214" s="1037">
        <v>0.4</v>
      </c>
      <c r="AA214" s="1037">
        <v>0.4</v>
      </c>
      <c r="AB214" s="1037">
        <v>0.4</v>
      </c>
      <c r="AC214" s="1037">
        <v>0.4</v>
      </c>
      <c r="AD214" s="1137">
        <f>232750000/2</f>
        <v>116375000</v>
      </c>
      <c r="AE214" s="1137">
        <v>526500000</v>
      </c>
      <c r="AF214" s="1137">
        <v>380000000</v>
      </c>
      <c r="AG214" s="1137">
        <v>750000000</v>
      </c>
      <c r="AH214" s="1137">
        <f>232750000/2</f>
        <v>116375000</v>
      </c>
      <c r="AI214" s="1137">
        <f>1048207670.7/2</f>
        <v>524103835.35000002</v>
      </c>
      <c r="AJ214" s="1137"/>
      <c r="AK214" s="1137"/>
      <c r="AL214" s="1039">
        <f t="shared" si="449"/>
        <v>1</v>
      </c>
      <c r="AM214" s="1039">
        <f t="shared" si="449"/>
        <v>0.99544888005698007</v>
      </c>
      <c r="AN214" s="1039">
        <f t="shared" si="449"/>
        <v>0</v>
      </c>
      <c r="AO214" s="1039">
        <f t="shared" si="449"/>
        <v>0</v>
      </c>
      <c r="AP214" s="1283">
        <f>208717398/2</f>
        <v>104358699</v>
      </c>
      <c r="AQ214" s="1041">
        <f>739789970.46/2</f>
        <v>369894985.23000002</v>
      </c>
      <c r="AR214" s="1552"/>
      <c r="AS214" s="1042"/>
      <c r="AT214" s="1043">
        <f t="shared" si="450"/>
        <v>0.8967449967776584</v>
      </c>
      <c r="AU214" s="1043">
        <f t="shared" si="450"/>
        <v>0.70255457783475783</v>
      </c>
      <c r="AV214" s="1043">
        <f t="shared" si="450"/>
        <v>0</v>
      </c>
      <c r="AW214" s="1043">
        <f t="shared" si="450"/>
        <v>0</v>
      </c>
      <c r="AX214" s="1044">
        <f t="shared" ref="AX214:BA216" si="479">+AH214-AP214</f>
        <v>12016301</v>
      </c>
      <c r="AY214" s="1044">
        <f t="shared" si="479"/>
        <v>154208850.12</v>
      </c>
      <c r="AZ214" s="1044">
        <f t="shared" si="479"/>
        <v>0</v>
      </c>
      <c r="BA214" s="1044">
        <f t="shared" si="479"/>
        <v>0</v>
      </c>
      <c r="BB214" s="1283"/>
      <c r="BC214" s="1283"/>
      <c r="BD214" s="1283"/>
      <c r="BE214" s="1283"/>
      <c r="BF214" s="1045">
        <f t="shared" si="451"/>
        <v>0</v>
      </c>
      <c r="BG214" s="1045">
        <f t="shared" si="451"/>
        <v>0</v>
      </c>
      <c r="BH214" s="1045" t="e">
        <f t="shared" si="451"/>
        <v>#DIV/0!</v>
      </c>
      <c r="BI214" s="1045" t="e">
        <f t="shared" si="451"/>
        <v>#DIV/0!</v>
      </c>
      <c r="BJ214" s="1283">
        <f t="shared" si="367"/>
        <v>1772875000</v>
      </c>
      <c r="BK214" s="1046">
        <f t="shared" si="368"/>
        <v>640478835.35000002</v>
      </c>
      <c r="BL214" s="1047">
        <f t="shared" si="365"/>
        <v>0.36126564780370868</v>
      </c>
      <c r="BM214" s="1046">
        <f t="shared" si="366"/>
        <v>474253684.23000002</v>
      </c>
      <c r="BN214" s="1048">
        <f t="shared" si="471"/>
        <v>0.26750542719029824</v>
      </c>
      <c r="BO214" s="2101"/>
      <c r="BP214" s="1409" t="s">
        <v>2637</v>
      </c>
      <c r="BQ214" s="1794" t="s">
        <v>2193</v>
      </c>
      <c r="BR214" s="1146" t="s">
        <v>596</v>
      </c>
    </row>
    <row r="215" spans="1:70" ht="12.75" customHeight="1" thickBot="1">
      <c r="A215" s="1904" t="s">
        <v>2681</v>
      </c>
      <c r="B215" s="1869" t="s">
        <v>2682</v>
      </c>
      <c r="C215" s="1889" t="s">
        <v>597</v>
      </c>
      <c r="D215" s="2107">
        <v>1</v>
      </c>
      <c r="E215" s="2104">
        <v>1</v>
      </c>
      <c r="F215" s="2104">
        <v>1</v>
      </c>
      <c r="G215" s="2105">
        <v>1</v>
      </c>
      <c r="H215" s="1893">
        <v>1</v>
      </c>
      <c r="I215" s="1514">
        <v>1</v>
      </c>
      <c r="J215" s="1060"/>
      <c r="K215" s="1060"/>
      <c r="L215" s="1060"/>
      <c r="M215" s="1061"/>
      <c r="N215" s="1061"/>
      <c r="O215" s="1061"/>
      <c r="P215" s="1062">
        <f t="shared" si="476"/>
        <v>1</v>
      </c>
      <c r="Q215" s="1062">
        <f t="shared" si="476"/>
        <v>1</v>
      </c>
      <c r="R215" s="1062">
        <f t="shared" si="476"/>
        <v>0</v>
      </c>
      <c r="S215" s="1062">
        <f t="shared" si="476"/>
        <v>0</v>
      </c>
      <c r="T215" s="2156" t="s">
        <v>2683</v>
      </c>
      <c r="U215" s="1034">
        <v>46022</v>
      </c>
      <c r="V215" s="1035">
        <f t="shared" si="477"/>
        <v>4</v>
      </c>
      <c r="W215" s="1035">
        <f t="shared" si="478"/>
        <v>2</v>
      </c>
      <c r="X215" s="1327">
        <f t="shared" si="412"/>
        <v>0.5</v>
      </c>
      <c r="Y215" s="1065">
        <v>0.4</v>
      </c>
      <c r="Z215" s="1065">
        <v>0.4</v>
      </c>
      <c r="AA215" s="1065">
        <v>0.4</v>
      </c>
      <c r="AB215" s="1065">
        <v>0.4</v>
      </c>
      <c r="AC215" s="1065">
        <v>0.4</v>
      </c>
      <c r="AD215" s="1066">
        <f>232750000/2</f>
        <v>116375000</v>
      </c>
      <c r="AE215" s="1137">
        <v>526500000</v>
      </c>
      <c r="AF215" s="1137">
        <v>380000000</v>
      </c>
      <c r="AG215" s="1137">
        <v>750000000</v>
      </c>
      <c r="AH215" s="1066">
        <f>232750000/2</f>
        <v>116375000</v>
      </c>
      <c r="AI215" s="1137">
        <f>1048207670.7/2</f>
        <v>524103835.35000002</v>
      </c>
      <c r="AJ215" s="1137"/>
      <c r="AK215" s="1137"/>
      <c r="AL215" s="1173">
        <f t="shared" si="449"/>
        <v>1</v>
      </c>
      <c r="AM215" s="1173">
        <f t="shared" si="449"/>
        <v>0.99544888005698007</v>
      </c>
      <c r="AN215" s="1173">
        <f t="shared" si="449"/>
        <v>0</v>
      </c>
      <c r="AO215" s="1173">
        <f t="shared" si="449"/>
        <v>0</v>
      </c>
      <c r="AP215" s="1283">
        <f>208717398/2</f>
        <v>104358699</v>
      </c>
      <c r="AQ215" s="1041">
        <f>739789970.46/2</f>
        <v>369894985.23000002</v>
      </c>
      <c r="AR215" s="1560"/>
      <c r="AS215" s="1069"/>
      <c r="AT215" s="1140">
        <f t="shared" si="450"/>
        <v>0.8967449967776584</v>
      </c>
      <c r="AU215" s="1140">
        <f t="shared" si="450"/>
        <v>0.70255457783475783</v>
      </c>
      <c r="AV215" s="1140">
        <f t="shared" si="450"/>
        <v>0</v>
      </c>
      <c r="AW215" s="1140">
        <f t="shared" si="450"/>
        <v>0</v>
      </c>
      <c r="AX215" s="1044">
        <f t="shared" si="479"/>
        <v>12016301</v>
      </c>
      <c r="AY215" s="1044">
        <f t="shared" si="479"/>
        <v>154208850.12</v>
      </c>
      <c r="AZ215" s="1044">
        <f t="shared" si="479"/>
        <v>0</v>
      </c>
      <c r="BA215" s="1044">
        <f t="shared" si="479"/>
        <v>0</v>
      </c>
      <c r="BB215" s="1070"/>
      <c r="BC215" s="1070"/>
      <c r="BD215" s="1070"/>
      <c r="BE215" s="1070"/>
      <c r="BF215" s="1071">
        <f t="shared" si="451"/>
        <v>0</v>
      </c>
      <c r="BG215" s="1071">
        <f t="shared" si="451"/>
        <v>0</v>
      </c>
      <c r="BH215" s="1071" t="e">
        <f t="shared" si="451"/>
        <v>#DIV/0!</v>
      </c>
      <c r="BI215" s="1071" t="e">
        <f t="shared" si="451"/>
        <v>#DIV/0!</v>
      </c>
      <c r="BJ215" s="1070">
        <f t="shared" si="367"/>
        <v>1772875000</v>
      </c>
      <c r="BK215" s="1072">
        <f t="shared" si="368"/>
        <v>640478835.35000002</v>
      </c>
      <c r="BL215" s="1073">
        <f t="shared" si="365"/>
        <v>0.36126564780370868</v>
      </c>
      <c r="BM215" s="1072">
        <f t="shared" si="366"/>
        <v>474253684.23000002</v>
      </c>
      <c r="BN215" s="1074">
        <f t="shared" si="471"/>
        <v>0.26750542719029824</v>
      </c>
      <c r="BO215" s="2106"/>
      <c r="BP215" s="1321" t="s">
        <v>2637</v>
      </c>
      <c r="BQ215" s="1873" t="s">
        <v>2193</v>
      </c>
      <c r="BR215" s="1083" t="s">
        <v>596</v>
      </c>
    </row>
    <row r="216" spans="1:70" ht="12.75" customHeight="1" thickBot="1">
      <c r="A216" s="1795" t="s">
        <v>2684</v>
      </c>
      <c r="B216" s="1796" t="s">
        <v>2685</v>
      </c>
      <c r="C216" s="1907" t="s">
        <v>597</v>
      </c>
      <c r="D216" s="2157">
        <v>0.8</v>
      </c>
      <c r="E216" s="2158">
        <v>0.8</v>
      </c>
      <c r="F216" s="2158">
        <v>0.8</v>
      </c>
      <c r="G216" s="2159">
        <v>0.8</v>
      </c>
      <c r="H216" s="2160">
        <v>1</v>
      </c>
      <c r="I216" s="1878">
        <v>0.9</v>
      </c>
      <c r="J216" s="1182"/>
      <c r="K216" s="1182"/>
      <c r="L216" s="1182"/>
      <c r="M216" s="1101"/>
      <c r="N216" s="1101"/>
      <c r="O216" s="1101"/>
      <c r="P216" s="1565">
        <f t="shared" si="476"/>
        <v>1</v>
      </c>
      <c r="Q216" s="1102">
        <f t="shared" si="476"/>
        <v>1</v>
      </c>
      <c r="R216" s="1102">
        <f t="shared" si="476"/>
        <v>0</v>
      </c>
      <c r="S216" s="1102">
        <f t="shared" si="476"/>
        <v>0</v>
      </c>
      <c r="T216" s="1686" t="s">
        <v>2686</v>
      </c>
      <c r="U216" s="1034">
        <v>46022</v>
      </c>
      <c r="V216" s="1035">
        <f t="shared" si="477"/>
        <v>3.2</v>
      </c>
      <c r="W216" s="1035">
        <f t="shared" si="478"/>
        <v>1.9</v>
      </c>
      <c r="X216" s="1291">
        <f t="shared" si="412"/>
        <v>0.59374999999999989</v>
      </c>
      <c r="Y216" s="1104">
        <v>0.2</v>
      </c>
      <c r="Z216" s="1104">
        <v>0.2</v>
      </c>
      <c r="AA216" s="1104">
        <v>0.2</v>
      </c>
      <c r="AB216" s="1104">
        <v>0.2</v>
      </c>
      <c r="AC216" s="1104">
        <v>0.2</v>
      </c>
      <c r="AD216" s="1106">
        <f>133000000+107549932.953406</f>
        <v>240549932.95340601</v>
      </c>
      <c r="AE216" s="1106">
        <v>162000000</v>
      </c>
      <c r="AF216" s="1106" t="s">
        <v>618</v>
      </c>
      <c r="AG216" s="1106">
        <v>300000000</v>
      </c>
      <c r="AH216" s="1106">
        <f>123145500+107549932.867708</f>
        <v>230695432.867708</v>
      </c>
      <c r="AI216" s="1106">
        <v>161494948</v>
      </c>
      <c r="AJ216" s="1106"/>
      <c r="AK216" s="1106"/>
      <c r="AL216" s="1295">
        <f t="shared" si="449"/>
        <v>0.95903345320155708</v>
      </c>
      <c r="AM216" s="1295">
        <f t="shared" si="449"/>
        <v>0.99688239506172838</v>
      </c>
      <c r="AN216" s="1295" t="e">
        <f t="shared" si="449"/>
        <v>#VALUE!</v>
      </c>
      <c r="AO216" s="1295">
        <f t="shared" si="449"/>
        <v>0</v>
      </c>
      <c r="AP216" s="1109">
        <f>123145499.94+92235927.9273127</f>
        <v>215381427.8673127</v>
      </c>
      <c r="AQ216" s="1187">
        <v>156835990.65000001</v>
      </c>
      <c r="AR216" s="1567"/>
      <c r="AS216" s="1188"/>
      <c r="AT216" s="1189">
        <f t="shared" si="450"/>
        <v>0.89537097442896241</v>
      </c>
      <c r="AU216" s="1189">
        <f t="shared" si="450"/>
        <v>0.96812339907407408</v>
      </c>
      <c r="AV216" s="1189" t="e">
        <f t="shared" si="450"/>
        <v>#VALUE!</v>
      </c>
      <c r="AW216" s="1189">
        <f t="shared" si="450"/>
        <v>0</v>
      </c>
      <c r="AX216" s="1044">
        <f t="shared" si="479"/>
        <v>15314005.000395298</v>
      </c>
      <c r="AY216" s="1044">
        <f t="shared" si="479"/>
        <v>4658957.349999994</v>
      </c>
      <c r="AZ216" s="1044">
        <f t="shared" si="479"/>
        <v>0</v>
      </c>
      <c r="BA216" s="1044">
        <f t="shared" si="479"/>
        <v>0</v>
      </c>
      <c r="BB216" s="1107"/>
      <c r="BC216" s="1107"/>
      <c r="BD216" s="1107"/>
      <c r="BE216" s="1107"/>
      <c r="BF216" s="1190">
        <f t="shared" si="451"/>
        <v>0</v>
      </c>
      <c r="BG216" s="1190">
        <f t="shared" si="451"/>
        <v>0</v>
      </c>
      <c r="BH216" s="1190" t="e">
        <f t="shared" si="451"/>
        <v>#DIV/0!</v>
      </c>
      <c r="BI216" s="1190" t="e">
        <f t="shared" si="451"/>
        <v>#DIV/0!</v>
      </c>
      <c r="BJ216" s="1107" t="e">
        <f t="shared" si="367"/>
        <v>#VALUE!</v>
      </c>
      <c r="BK216" s="1110">
        <f t="shared" si="368"/>
        <v>392190380.86770797</v>
      </c>
      <c r="BL216" s="1111" t="e">
        <f t="shared" si="365"/>
        <v>#VALUE!</v>
      </c>
      <c r="BM216" s="1110">
        <f t="shared" si="366"/>
        <v>372217418.51731271</v>
      </c>
      <c r="BN216" s="1112" t="e">
        <f t="shared" si="471"/>
        <v>#VALUE!</v>
      </c>
      <c r="BO216" s="2106" t="s">
        <v>2653</v>
      </c>
      <c r="BP216" s="1435" t="s">
        <v>2637</v>
      </c>
      <c r="BQ216" s="1803" t="s">
        <v>2193</v>
      </c>
      <c r="BR216" s="1191" t="s">
        <v>596</v>
      </c>
    </row>
    <row r="217" spans="1:70" ht="12.75" customHeight="1" thickBot="1">
      <c r="A217" s="2135" t="s">
        <v>2687</v>
      </c>
      <c r="B217" s="2135"/>
      <c r="C217" s="2136"/>
      <c r="D217" s="2136"/>
      <c r="E217" s="2137"/>
      <c r="F217" s="2137"/>
      <c r="G217" s="2137"/>
      <c r="H217" s="2137"/>
      <c r="I217" s="2137"/>
      <c r="J217" s="2137"/>
      <c r="K217" s="2137"/>
      <c r="L217" s="2137"/>
      <c r="M217" s="2137"/>
      <c r="N217" s="2137"/>
      <c r="O217" s="2137"/>
      <c r="P217" s="2138">
        <f>+SUMPRODUCT(P218:P221,Z218:Z221)</f>
        <v>1</v>
      </c>
      <c r="Q217" s="2138">
        <f t="shared" ref="Q217:S217" si="480">+SUMPRODUCT(Q218:Q221,AA218:AA221)</f>
        <v>0.7104166666666667</v>
      </c>
      <c r="R217" s="2138">
        <f t="shared" si="480"/>
        <v>0</v>
      </c>
      <c r="S217" s="2138">
        <f t="shared" si="480"/>
        <v>0</v>
      </c>
      <c r="T217" s="2139"/>
      <c r="U217" s="2135"/>
      <c r="V217" s="2140"/>
      <c r="W217" s="2141">
        <f t="shared" si="414"/>
        <v>0</v>
      </c>
      <c r="X217" s="2138">
        <f>+SUMPRODUCT(X218:X221,Y218:Y221)</f>
        <v>0.36201923076923076</v>
      </c>
      <c r="Y217" s="2142">
        <v>0.35</v>
      </c>
      <c r="Z217" s="2142">
        <v>0.35</v>
      </c>
      <c r="AA217" s="2142">
        <v>0.35</v>
      </c>
      <c r="AB217" s="2142">
        <v>0.35</v>
      </c>
      <c r="AC217" s="2142">
        <v>0.35</v>
      </c>
      <c r="AD217" s="2136">
        <f>SUM(AD218:AD221)</f>
        <v>774490799.37830102</v>
      </c>
      <c r="AE217" s="2136">
        <f>SUM(AE218:AE221)</f>
        <v>947700000</v>
      </c>
      <c r="AF217" s="2136">
        <f t="shared" ref="AF217:AG217" si="481">SUM(AF218:AF221)</f>
        <v>1167075000</v>
      </c>
      <c r="AG217" s="2136">
        <f t="shared" si="481"/>
        <v>1289925000</v>
      </c>
      <c r="AH217" s="2136">
        <f>SUM(AH218:AH221)</f>
        <v>766598392.23806798</v>
      </c>
      <c r="AI217" s="2136">
        <f t="shared" ref="AI217:AK217" si="482">SUM(AI218:AI221)</f>
        <v>938547964</v>
      </c>
      <c r="AJ217" s="2136">
        <f t="shared" si="482"/>
        <v>0</v>
      </c>
      <c r="AK217" s="2136">
        <f t="shared" si="482"/>
        <v>0</v>
      </c>
      <c r="AL217" s="2143">
        <f t="shared" si="449"/>
        <v>0.9898095533909913</v>
      </c>
      <c r="AM217" s="2143">
        <f t="shared" si="449"/>
        <v>0.99034289754141602</v>
      </c>
      <c r="AN217" s="2143">
        <f t="shared" si="449"/>
        <v>0</v>
      </c>
      <c r="AO217" s="2143">
        <f t="shared" si="449"/>
        <v>0</v>
      </c>
      <c r="AP217" s="2136">
        <f t="shared" ref="AP217:AS217" si="483">SUM(AP218:AP221)</f>
        <v>518222175.426512</v>
      </c>
      <c r="AQ217" s="2144">
        <f t="shared" si="483"/>
        <v>840241061.73000002</v>
      </c>
      <c r="AR217" s="2136">
        <f t="shared" si="483"/>
        <v>0</v>
      </c>
      <c r="AS217" s="2136">
        <f t="shared" si="483"/>
        <v>0</v>
      </c>
      <c r="AT217" s="2143">
        <f t="shared" si="450"/>
        <v>0.66911340437161959</v>
      </c>
      <c r="AU217" s="2143">
        <f t="shared" si="450"/>
        <v>0.88661080693257366</v>
      </c>
      <c r="AV217" s="2143">
        <f t="shared" si="450"/>
        <v>0</v>
      </c>
      <c r="AW217" s="2143">
        <f t="shared" si="450"/>
        <v>0</v>
      </c>
      <c r="AX217" s="2136">
        <f t="shared" ref="AX217:BE217" si="484">SUM(AX218:AX221)</f>
        <v>248376216.81155598</v>
      </c>
      <c r="AY217" s="2136">
        <f t="shared" si="484"/>
        <v>98306902.270000011</v>
      </c>
      <c r="AZ217" s="2136">
        <f t="shared" si="484"/>
        <v>0</v>
      </c>
      <c r="BA217" s="2136">
        <f t="shared" si="484"/>
        <v>0</v>
      </c>
      <c r="BB217" s="2136">
        <f t="shared" si="484"/>
        <v>0</v>
      </c>
      <c r="BC217" s="2136">
        <f t="shared" si="484"/>
        <v>0</v>
      </c>
      <c r="BD217" s="2136">
        <f t="shared" si="484"/>
        <v>0</v>
      </c>
      <c r="BE217" s="2136">
        <f t="shared" si="484"/>
        <v>0</v>
      </c>
      <c r="BF217" s="2142">
        <f t="shared" si="451"/>
        <v>0</v>
      </c>
      <c r="BG217" s="2142">
        <f t="shared" si="451"/>
        <v>0</v>
      </c>
      <c r="BH217" s="2142" t="e">
        <f t="shared" si="451"/>
        <v>#DIV/0!</v>
      </c>
      <c r="BI217" s="2142" t="e">
        <f t="shared" si="451"/>
        <v>#DIV/0!</v>
      </c>
      <c r="BJ217" s="2136">
        <f t="shared" si="367"/>
        <v>4179190799.3783011</v>
      </c>
      <c r="BK217" s="2144">
        <f t="shared" si="368"/>
        <v>1705146356.2380681</v>
      </c>
      <c r="BL217" s="2145">
        <f t="shared" si="365"/>
        <v>0.40800873616292577</v>
      </c>
      <c r="BM217" s="2144">
        <f t="shared" si="366"/>
        <v>1358463237.156512</v>
      </c>
      <c r="BN217" s="2146">
        <f t="shared" si="471"/>
        <v>0.32505413185696086</v>
      </c>
      <c r="BO217" s="2161"/>
      <c r="BP217" s="2162"/>
      <c r="BQ217" s="2163"/>
      <c r="BR217" s="2147"/>
    </row>
    <row r="218" spans="1:70" ht="12.75" customHeight="1" thickBot="1">
      <c r="A218" s="1851" t="s">
        <v>2688</v>
      </c>
      <c r="B218" s="1867" t="s">
        <v>2689</v>
      </c>
      <c r="C218" s="1025" t="s">
        <v>2181</v>
      </c>
      <c r="D218" s="2148">
        <v>3</v>
      </c>
      <c r="E218" s="2098">
        <v>3</v>
      </c>
      <c r="F218" s="2098">
        <v>3</v>
      </c>
      <c r="G218" s="2149">
        <v>3</v>
      </c>
      <c r="H218" s="1627">
        <v>3</v>
      </c>
      <c r="I218" s="1030">
        <v>3</v>
      </c>
      <c r="J218" s="1030"/>
      <c r="K218" s="1030"/>
      <c r="L218" s="1030"/>
      <c r="M218" s="1031"/>
      <c r="N218" s="1031"/>
      <c r="O218" s="1031"/>
      <c r="P218" s="1032">
        <f t="shared" ref="P218:S221" si="485">IF((H218+L218)/D218&gt;=100%,100%,(H218+L218)/D218)</f>
        <v>1</v>
      </c>
      <c r="Q218" s="1032">
        <f t="shared" si="485"/>
        <v>1</v>
      </c>
      <c r="R218" s="1032">
        <f t="shared" si="485"/>
        <v>0</v>
      </c>
      <c r="S218" s="1032">
        <f t="shared" si="485"/>
        <v>0</v>
      </c>
      <c r="T218" s="1702" t="s">
        <v>2690</v>
      </c>
      <c r="U218" s="1034">
        <v>46022</v>
      </c>
      <c r="V218" s="1035">
        <f t="shared" ref="V218:V221" si="486">SUM(D218:G218)</f>
        <v>12</v>
      </c>
      <c r="W218" s="1035">
        <f t="shared" ref="W218:W221" si="487">SUM(H218:N218)</f>
        <v>6</v>
      </c>
      <c r="X218" s="1279">
        <f t="shared" si="412"/>
        <v>0.5</v>
      </c>
      <c r="Y218" s="1037">
        <v>0.3</v>
      </c>
      <c r="Z218" s="1037">
        <v>0.35</v>
      </c>
      <c r="AA218" s="1037">
        <v>0.3</v>
      </c>
      <c r="AB218" s="1037">
        <v>0.3</v>
      </c>
      <c r="AC218" s="1037">
        <v>0.3</v>
      </c>
      <c r="AD218" s="1137">
        <v>232750000</v>
      </c>
      <c r="AE218" s="1137">
        <v>283500000</v>
      </c>
      <c r="AF218" s="1137">
        <v>349125000</v>
      </c>
      <c r="AG218" s="1137">
        <v>385875000</v>
      </c>
      <c r="AH218" s="1137">
        <v>232750000</v>
      </c>
      <c r="AI218" s="1137">
        <v>283108566</v>
      </c>
      <c r="AJ218" s="1137"/>
      <c r="AK218" s="1137"/>
      <c r="AL218" s="1048">
        <f t="shared" si="449"/>
        <v>1</v>
      </c>
      <c r="AM218" s="1048">
        <f t="shared" si="449"/>
        <v>0.99861928042328041</v>
      </c>
      <c r="AN218" s="1048">
        <f t="shared" si="449"/>
        <v>0</v>
      </c>
      <c r="AO218" s="1048">
        <f t="shared" si="449"/>
        <v>0</v>
      </c>
      <c r="AP218" s="1283">
        <v>151299699</v>
      </c>
      <c r="AQ218" s="1041">
        <v>216694952.19</v>
      </c>
      <c r="AR218" s="1552"/>
      <c r="AS218" s="1042"/>
      <c r="AT218" s="1043">
        <f t="shared" si="450"/>
        <v>0.65005241245972079</v>
      </c>
      <c r="AU218" s="1043">
        <f t="shared" si="450"/>
        <v>0.76435609238095237</v>
      </c>
      <c r="AV218" s="1043">
        <f t="shared" si="450"/>
        <v>0</v>
      </c>
      <c r="AW218" s="1043">
        <f t="shared" si="450"/>
        <v>0</v>
      </c>
      <c r="AX218" s="1044">
        <f t="shared" ref="AX218:BA221" si="488">+AH218-AP218</f>
        <v>81450301</v>
      </c>
      <c r="AY218" s="1044">
        <f t="shared" si="488"/>
        <v>66413613.810000002</v>
      </c>
      <c r="AZ218" s="1044">
        <f t="shared" si="488"/>
        <v>0</v>
      </c>
      <c r="BA218" s="1044">
        <f t="shared" si="488"/>
        <v>0</v>
      </c>
      <c r="BB218" s="1283"/>
      <c r="BC218" s="1283"/>
      <c r="BD218" s="1283"/>
      <c r="BE218" s="1283"/>
      <c r="BF218" s="1045">
        <f t="shared" si="451"/>
        <v>0</v>
      </c>
      <c r="BG218" s="1045">
        <f t="shared" si="451"/>
        <v>0</v>
      </c>
      <c r="BH218" s="1045" t="e">
        <f t="shared" si="451"/>
        <v>#DIV/0!</v>
      </c>
      <c r="BI218" s="1045" t="e">
        <f t="shared" si="451"/>
        <v>#DIV/0!</v>
      </c>
      <c r="BJ218" s="1283">
        <f t="shared" si="367"/>
        <v>1251250000</v>
      </c>
      <c r="BK218" s="1046">
        <f t="shared" si="368"/>
        <v>515858566</v>
      </c>
      <c r="BL218" s="1047">
        <f t="shared" si="365"/>
        <v>0.41227457822177821</v>
      </c>
      <c r="BM218" s="1046">
        <f t="shared" si="366"/>
        <v>367994651.19</v>
      </c>
      <c r="BN218" s="1048">
        <f t="shared" si="471"/>
        <v>0.29410161933266732</v>
      </c>
      <c r="BO218" s="2101"/>
      <c r="BP218" s="1512" t="s">
        <v>2637</v>
      </c>
      <c r="BQ218" s="1794" t="s">
        <v>2193</v>
      </c>
      <c r="BR218" s="1146" t="s">
        <v>596</v>
      </c>
    </row>
    <row r="219" spans="1:70" ht="12.75" customHeight="1" thickBot="1">
      <c r="A219" s="2164" t="s">
        <v>2691</v>
      </c>
      <c r="B219" s="1869" t="s">
        <v>2692</v>
      </c>
      <c r="C219" s="1055" t="s">
        <v>2181</v>
      </c>
      <c r="D219" s="2103">
        <v>1</v>
      </c>
      <c r="E219" s="2111">
        <v>1</v>
      </c>
      <c r="F219" s="2111">
        <v>1</v>
      </c>
      <c r="G219" s="2112">
        <v>1</v>
      </c>
      <c r="H219" s="1659">
        <v>1</v>
      </c>
      <c r="I219" s="1060">
        <v>1</v>
      </c>
      <c r="J219" s="1060"/>
      <c r="K219" s="1060"/>
      <c r="L219" s="1060"/>
      <c r="M219" s="1061"/>
      <c r="N219" s="1061"/>
      <c r="O219" s="1061"/>
      <c r="P219" s="1062">
        <f t="shared" si="485"/>
        <v>1</v>
      </c>
      <c r="Q219" s="1062">
        <f t="shared" si="485"/>
        <v>1</v>
      </c>
      <c r="R219" s="1062">
        <f t="shared" si="485"/>
        <v>0</v>
      </c>
      <c r="S219" s="1062">
        <f t="shared" si="485"/>
        <v>0</v>
      </c>
      <c r="T219" s="1669" t="s">
        <v>2693</v>
      </c>
      <c r="U219" s="1034">
        <v>46022</v>
      </c>
      <c r="V219" s="1035">
        <f t="shared" si="486"/>
        <v>4</v>
      </c>
      <c r="W219" s="1035">
        <f t="shared" si="487"/>
        <v>2</v>
      </c>
      <c r="X219" s="1327">
        <f t="shared" si="412"/>
        <v>0.5</v>
      </c>
      <c r="Y219" s="1065">
        <v>0.2</v>
      </c>
      <c r="Z219" s="1065">
        <v>0.25</v>
      </c>
      <c r="AA219" s="1065">
        <v>0.2</v>
      </c>
      <c r="AB219" s="1065">
        <v>0.2</v>
      </c>
      <c r="AC219" s="1065">
        <v>0.2</v>
      </c>
      <c r="AD219" s="1066">
        <v>133000000</v>
      </c>
      <c r="AE219" s="1066">
        <v>170100000</v>
      </c>
      <c r="AF219" s="1066">
        <v>209475000</v>
      </c>
      <c r="AG219" s="1066">
        <v>231525000</v>
      </c>
      <c r="AH219" s="1066">
        <v>128985487</v>
      </c>
      <c r="AI219" s="1066">
        <v>166574941</v>
      </c>
      <c r="AJ219" s="1066"/>
      <c r="AK219" s="1066"/>
      <c r="AL219" s="1074">
        <f t="shared" si="449"/>
        <v>0.96981569172932336</v>
      </c>
      <c r="AM219" s="1074">
        <f t="shared" si="449"/>
        <v>0.97927654908877126</v>
      </c>
      <c r="AN219" s="1074">
        <f t="shared" si="449"/>
        <v>0</v>
      </c>
      <c r="AO219" s="1074">
        <f t="shared" si="449"/>
        <v>0</v>
      </c>
      <c r="AP219" s="1070">
        <v>115219291</v>
      </c>
      <c r="AQ219" s="1068">
        <v>151269257.28999999</v>
      </c>
      <c r="AR219" s="1560"/>
      <c r="AS219" s="1069"/>
      <c r="AT219" s="1140">
        <f t="shared" si="450"/>
        <v>0.86631045864661649</v>
      </c>
      <c r="AU219" s="1140">
        <f t="shared" si="450"/>
        <v>0.88929604520870076</v>
      </c>
      <c r="AV219" s="1140">
        <f t="shared" si="450"/>
        <v>0</v>
      </c>
      <c r="AW219" s="1140">
        <f t="shared" si="450"/>
        <v>0</v>
      </c>
      <c r="AX219" s="1044">
        <f t="shared" si="488"/>
        <v>13766196</v>
      </c>
      <c r="AY219" s="1044">
        <f t="shared" si="488"/>
        <v>15305683.710000008</v>
      </c>
      <c r="AZ219" s="1044">
        <f t="shared" si="488"/>
        <v>0</v>
      </c>
      <c r="BA219" s="1044">
        <f t="shared" si="488"/>
        <v>0</v>
      </c>
      <c r="BB219" s="1070"/>
      <c r="BC219" s="1070"/>
      <c r="BD219" s="1070"/>
      <c r="BE219" s="1070"/>
      <c r="BF219" s="1071">
        <f t="shared" si="451"/>
        <v>0</v>
      </c>
      <c r="BG219" s="1071">
        <f t="shared" si="451"/>
        <v>0</v>
      </c>
      <c r="BH219" s="1071" t="e">
        <f t="shared" si="451"/>
        <v>#DIV/0!</v>
      </c>
      <c r="BI219" s="1071" t="e">
        <f t="shared" si="451"/>
        <v>#DIV/0!</v>
      </c>
      <c r="BJ219" s="1070">
        <f t="shared" si="367"/>
        <v>744100000</v>
      </c>
      <c r="BK219" s="1072">
        <f t="shared" si="368"/>
        <v>295560428</v>
      </c>
      <c r="BL219" s="1073">
        <f t="shared" si="365"/>
        <v>0.39720525198226048</v>
      </c>
      <c r="BM219" s="1072">
        <f t="shared" si="366"/>
        <v>266488548.28999999</v>
      </c>
      <c r="BN219" s="1074">
        <f t="shared" si="471"/>
        <v>0.35813539616986961</v>
      </c>
      <c r="BO219" s="2106"/>
      <c r="BP219" s="1321" t="s">
        <v>2637</v>
      </c>
      <c r="BQ219" s="2165" t="s">
        <v>35</v>
      </c>
      <c r="BR219" s="1083" t="s">
        <v>596</v>
      </c>
    </row>
    <row r="220" spans="1:70" ht="12.75" customHeight="1" thickBot="1">
      <c r="A220" s="2164" t="s">
        <v>2694</v>
      </c>
      <c r="B220" s="1869" t="s">
        <v>2695</v>
      </c>
      <c r="C220" s="1055" t="s">
        <v>2181</v>
      </c>
      <c r="D220" s="2103">
        <v>2</v>
      </c>
      <c r="E220" s="2111">
        <v>3</v>
      </c>
      <c r="F220" s="2111">
        <v>4</v>
      </c>
      <c r="G220" s="2112">
        <v>4</v>
      </c>
      <c r="H220" s="1659">
        <v>2</v>
      </c>
      <c r="I220" s="1060">
        <v>1</v>
      </c>
      <c r="J220" s="1060"/>
      <c r="K220" s="1060"/>
      <c r="L220" s="1060"/>
      <c r="M220" s="1061"/>
      <c r="N220" s="1061"/>
      <c r="O220" s="1061"/>
      <c r="P220" s="1062">
        <f t="shared" si="485"/>
        <v>1</v>
      </c>
      <c r="Q220" s="1062">
        <f t="shared" si="485"/>
        <v>0.33333333333333331</v>
      </c>
      <c r="R220" s="1062">
        <f t="shared" si="485"/>
        <v>0</v>
      </c>
      <c r="S220" s="1062">
        <f t="shared" si="485"/>
        <v>0</v>
      </c>
      <c r="T220" s="1669" t="s">
        <v>2696</v>
      </c>
      <c r="U220" s="1034">
        <v>46022</v>
      </c>
      <c r="V220" s="1035">
        <f t="shared" si="486"/>
        <v>13</v>
      </c>
      <c r="W220" s="1035">
        <f t="shared" si="487"/>
        <v>3</v>
      </c>
      <c r="X220" s="1327">
        <f t="shared" si="412"/>
        <v>0.23076923076923078</v>
      </c>
      <c r="Y220" s="1065">
        <v>0.35</v>
      </c>
      <c r="Z220" s="1065">
        <v>0.4</v>
      </c>
      <c r="AA220" s="1065">
        <v>0.35</v>
      </c>
      <c r="AB220" s="1065">
        <v>0.35</v>
      </c>
      <c r="AC220" s="1065">
        <v>0.35</v>
      </c>
      <c r="AD220" s="1066">
        <f>232750000+175990799.378301</f>
        <v>408740799.37830102</v>
      </c>
      <c r="AE220" s="1066">
        <v>340200000</v>
      </c>
      <c r="AF220" s="1066">
        <v>418950000</v>
      </c>
      <c r="AG220" s="1066">
        <v>463050000</v>
      </c>
      <c r="AH220" s="1066">
        <f>228872106+175990799.238068</f>
        <v>404862905.23806798</v>
      </c>
      <c r="AI220" s="1066">
        <v>335106086</v>
      </c>
      <c r="AJ220" s="1066"/>
      <c r="AK220" s="1066"/>
      <c r="AL220" s="1074">
        <f t="shared" si="449"/>
        <v>0.99051258365660744</v>
      </c>
      <c r="AM220" s="1074">
        <f t="shared" si="449"/>
        <v>0.98502670781893009</v>
      </c>
      <c r="AN220" s="1074">
        <f t="shared" si="449"/>
        <v>0</v>
      </c>
      <c r="AO220" s="1074">
        <f t="shared" si="449"/>
        <v>0</v>
      </c>
      <c r="AP220" s="1070">
        <f>100771667+150931518.426512</f>
        <v>251703185.426512</v>
      </c>
      <c r="AQ220" s="1068">
        <v>322929758.63</v>
      </c>
      <c r="AR220" s="1560"/>
      <c r="AS220" s="1069"/>
      <c r="AT220" s="1140">
        <f t="shared" si="450"/>
        <v>0.61580147078381986</v>
      </c>
      <c r="AU220" s="1140">
        <f t="shared" si="450"/>
        <v>0.94923503418577304</v>
      </c>
      <c r="AV220" s="1140">
        <f t="shared" si="450"/>
        <v>0</v>
      </c>
      <c r="AW220" s="1140">
        <f t="shared" si="450"/>
        <v>0</v>
      </c>
      <c r="AX220" s="1044">
        <f t="shared" si="488"/>
        <v>153159719.81155598</v>
      </c>
      <c r="AY220" s="1044">
        <f t="shared" si="488"/>
        <v>12176327.370000005</v>
      </c>
      <c r="AZ220" s="1044">
        <f t="shared" si="488"/>
        <v>0</v>
      </c>
      <c r="BA220" s="1044">
        <f t="shared" si="488"/>
        <v>0</v>
      </c>
      <c r="BB220" s="1070"/>
      <c r="BC220" s="1070"/>
      <c r="BD220" s="1070"/>
      <c r="BE220" s="1070"/>
      <c r="BF220" s="1071">
        <f t="shared" si="451"/>
        <v>0</v>
      </c>
      <c r="BG220" s="1071">
        <f t="shared" si="451"/>
        <v>0</v>
      </c>
      <c r="BH220" s="1071" t="e">
        <f t="shared" si="451"/>
        <v>#DIV/0!</v>
      </c>
      <c r="BI220" s="1071" t="e">
        <f t="shared" si="451"/>
        <v>#DIV/0!</v>
      </c>
      <c r="BJ220" s="1070">
        <f t="shared" si="367"/>
        <v>1630940799.3783011</v>
      </c>
      <c r="BK220" s="1072">
        <f t="shared" si="368"/>
        <v>739968991.23806798</v>
      </c>
      <c r="BL220" s="1073">
        <f t="shared" ref="BL220:BL283" si="489">+BK220/BJ220</f>
        <v>0.4537068368883389</v>
      </c>
      <c r="BM220" s="1072">
        <f t="shared" ref="BM220:BM283" si="490">+AP220+AQ220+AR220+AS220</f>
        <v>574632944.056512</v>
      </c>
      <c r="BN220" s="1074">
        <f t="shared" si="471"/>
        <v>0.35233219027665291</v>
      </c>
      <c r="BO220" s="2106" t="s">
        <v>2653</v>
      </c>
      <c r="BP220" s="1321" t="s">
        <v>2637</v>
      </c>
      <c r="BQ220" s="1873" t="s">
        <v>2193</v>
      </c>
      <c r="BR220" s="1083" t="s">
        <v>596</v>
      </c>
    </row>
    <row r="221" spans="1:70" ht="12.75" customHeight="1" thickBot="1">
      <c r="A221" s="1795" t="s">
        <v>2697</v>
      </c>
      <c r="B221" s="1796" t="s">
        <v>2698</v>
      </c>
      <c r="C221" s="1096" t="s">
        <v>597</v>
      </c>
      <c r="D221" s="2132">
        <v>0</v>
      </c>
      <c r="E221" s="2158">
        <v>0.8</v>
      </c>
      <c r="F221" s="2158">
        <v>0.8</v>
      </c>
      <c r="G221" s="2159">
        <v>0.8</v>
      </c>
      <c r="H221" s="1634"/>
      <c r="I221" s="1878">
        <v>0.5</v>
      </c>
      <c r="J221" s="1182"/>
      <c r="K221" s="1182"/>
      <c r="L221" s="1182"/>
      <c r="M221" s="1101"/>
      <c r="N221" s="1101"/>
      <c r="O221" s="1101"/>
      <c r="P221" s="1102"/>
      <c r="Q221" s="1102">
        <f t="shared" si="485"/>
        <v>0.625</v>
      </c>
      <c r="R221" s="1102">
        <f t="shared" si="485"/>
        <v>0</v>
      </c>
      <c r="S221" s="1102">
        <f t="shared" si="485"/>
        <v>0</v>
      </c>
      <c r="T221" s="1158" t="s">
        <v>2699</v>
      </c>
      <c r="U221" s="1034">
        <v>46022</v>
      </c>
      <c r="V221" s="1035">
        <f t="shared" si="486"/>
        <v>2.4000000000000004</v>
      </c>
      <c r="W221" s="1035">
        <f t="shared" si="487"/>
        <v>0.5</v>
      </c>
      <c r="X221" s="1291">
        <f t="shared" si="412"/>
        <v>0.20833333333333331</v>
      </c>
      <c r="Y221" s="1104">
        <v>0.15</v>
      </c>
      <c r="Z221" s="1104">
        <v>0</v>
      </c>
      <c r="AA221" s="1104">
        <v>0.15</v>
      </c>
      <c r="AB221" s="1104">
        <v>0.15</v>
      </c>
      <c r="AC221" s="1104">
        <v>0.15</v>
      </c>
      <c r="AD221" s="1106">
        <v>0</v>
      </c>
      <c r="AE221" s="1106">
        <v>153900000</v>
      </c>
      <c r="AF221" s="1106">
        <v>189525000</v>
      </c>
      <c r="AG221" s="1106">
        <v>209475000</v>
      </c>
      <c r="AH221" s="1106">
        <v>0</v>
      </c>
      <c r="AI221" s="1106">
        <v>153758371</v>
      </c>
      <c r="AJ221" s="1106"/>
      <c r="AK221" s="1106"/>
      <c r="AL221" s="1112" t="e">
        <f t="shared" si="449"/>
        <v>#DIV/0!</v>
      </c>
      <c r="AM221" s="1112">
        <f t="shared" si="449"/>
        <v>0.99907973359324231</v>
      </c>
      <c r="AN221" s="1112">
        <f t="shared" si="449"/>
        <v>0</v>
      </c>
      <c r="AO221" s="1112">
        <f t="shared" si="449"/>
        <v>0</v>
      </c>
      <c r="AP221" s="1107">
        <v>0</v>
      </c>
      <c r="AQ221" s="1187">
        <v>149347093.62</v>
      </c>
      <c r="AR221" s="1567"/>
      <c r="AS221" s="1188"/>
      <c r="AT221" s="1140" t="e">
        <f t="shared" si="450"/>
        <v>#DIV/0!</v>
      </c>
      <c r="AU221" s="1140">
        <f t="shared" si="450"/>
        <v>0.97041646276803117</v>
      </c>
      <c r="AV221" s="1140">
        <f t="shared" si="450"/>
        <v>0</v>
      </c>
      <c r="AW221" s="1140">
        <f t="shared" si="450"/>
        <v>0</v>
      </c>
      <c r="AX221" s="1044">
        <f t="shared" si="488"/>
        <v>0</v>
      </c>
      <c r="AY221" s="1044">
        <f t="shared" si="488"/>
        <v>4411277.3799999952</v>
      </c>
      <c r="AZ221" s="1044">
        <f t="shared" si="488"/>
        <v>0</v>
      </c>
      <c r="BA221" s="1044">
        <f t="shared" si="488"/>
        <v>0</v>
      </c>
      <c r="BB221" s="1107"/>
      <c r="BC221" s="1107"/>
      <c r="BD221" s="1107"/>
      <c r="BE221" s="1107"/>
      <c r="BF221" s="1190" t="e">
        <f t="shared" si="451"/>
        <v>#DIV/0!</v>
      </c>
      <c r="BG221" s="1190">
        <f t="shared" si="451"/>
        <v>0</v>
      </c>
      <c r="BH221" s="1190" t="e">
        <f t="shared" si="451"/>
        <v>#DIV/0!</v>
      </c>
      <c r="BI221" s="1190" t="e">
        <f t="shared" si="451"/>
        <v>#DIV/0!</v>
      </c>
      <c r="BJ221" s="1107">
        <f t="shared" ref="BJ221:BJ284" si="491">+AD221+AE221+AF221+AG221</f>
        <v>552900000</v>
      </c>
      <c r="BK221" s="1110">
        <f t="shared" ref="BK221:BK284" si="492">+AH221+AI221+AJ221+AK221</f>
        <v>153758371</v>
      </c>
      <c r="BL221" s="1111">
        <f t="shared" si="489"/>
        <v>0.27809435883523242</v>
      </c>
      <c r="BM221" s="1110">
        <f t="shared" si="490"/>
        <v>149347093.62</v>
      </c>
      <c r="BN221" s="1112">
        <f t="shared" si="471"/>
        <v>0.27011592262615303</v>
      </c>
      <c r="BO221" s="2153"/>
      <c r="BP221" s="1461" t="s">
        <v>2700</v>
      </c>
      <c r="BQ221" s="1803" t="s">
        <v>2193</v>
      </c>
      <c r="BR221" s="1191" t="s">
        <v>596</v>
      </c>
    </row>
    <row r="222" spans="1:70" ht="12.75" customHeight="1">
      <c r="A222" s="2118" t="s">
        <v>2701</v>
      </c>
      <c r="B222" s="2118"/>
      <c r="C222" s="2119"/>
      <c r="D222" s="2119"/>
      <c r="E222" s="2120"/>
      <c r="F222" s="2120"/>
      <c r="G222" s="2120"/>
      <c r="H222" s="2120"/>
      <c r="I222" s="2120"/>
      <c r="J222" s="2120"/>
      <c r="K222" s="2120"/>
      <c r="L222" s="2120"/>
      <c r="M222" s="2120"/>
      <c r="N222" s="2120"/>
      <c r="O222" s="2120"/>
      <c r="P222" s="2121">
        <f>+(P223*Z223)</f>
        <v>0.88000000000000012</v>
      </c>
      <c r="Q222" s="2121">
        <f t="shared" ref="Q222:S222" si="493">+(Q223*AA223)</f>
        <v>1</v>
      </c>
      <c r="R222" s="2121">
        <f t="shared" si="493"/>
        <v>0</v>
      </c>
      <c r="S222" s="2121" t="e">
        <f t="shared" si="493"/>
        <v>#DIV/0!</v>
      </c>
      <c r="T222" s="2122"/>
      <c r="U222" s="2118"/>
      <c r="V222" s="2123"/>
      <c r="W222" s="2124">
        <f t="shared" si="414"/>
        <v>0</v>
      </c>
      <c r="X222" s="2121">
        <f>+(X223*Y223)</f>
        <v>0.49921428571428583</v>
      </c>
      <c r="Y222" s="2125">
        <v>0.05</v>
      </c>
      <c r="Z222" s="2125">
        <v>0.05</v>
      </c>
      <c r="AA222" s="2125">
        <v>0.05</v>
      </c>
      <c r="AB222" s="2125">
        <v>0.05</v>
      </c>
      <c r="AC222" s="2125">
        <v>0.05</v>
      </c>
      <c r="AD222" s="2119">
        <f>+AD223</f>
        <v>343700511.80430561</v>
      </c>
      <c r="AE222" s="2119">
        <f>+AE223</f>
        <v>514485000</v>
      </c>
      <c r="AF222" s="2119">
        <f t="shared" ref="AF222:AG222" si="494">+AF223</f>
        <v>581185000</v>
      </c>
      <c r="AG222" s="2119">
        <f t="shared" si="494"/>
        <v>454165000</v>
      </c>
      <c r="AH222" s="2119">
        <f>+AH223</f>
        <v>223304859.74207318</v>
      </c>
      <c r="AI222" s="2119">
        <f t="shared" ref="AI222:AK222" si="495">+AI223</f>
        <v>514485000</v>
      </c>
      <c r="AJ222" s="2119">
        <f t="shared" si="495"/>
        <v>0</v>
      </c>
      <c r="AK222" s="2119">
        <f t="shared" si="495"/>
        <v>0</v>
      </c>
      <c r="AL222" s="2126">
        <f t="shared" si="449"/>
        <v>0.64970767302557098</v>
      </c>
      <c r="AM222" s="2126">
        <f t="shared" si="449"/>
        <v>1</v>
      </c>
      <c r="AN222" s="2126">
        <f t="shared" si="449"/>
        <v>0</v>
      </c>
      <c r="AO222" s="2126">
        <f t="shared" si="449"/>
        <v>0</v>
      </c>
      <c r="AP222" s="2119">
        <f t="shared" ref="AP222:AS222" si="496">+AP223</f>
        <v>177206717.66095489</v>
      </c>
      <c r="AQ222" s="2127">
        <f t="shared" si="496"/>
        <v>453110957.73000008</v>
      </c>
      <c r="AR222" s="2119">
        <f t="shared" si="496"/>
        <v>0</v>
      </c>
      <c r="AS222" s="2119">
        <f t="shared" si="496"/>
        <v>0</v>
      </c>
      <c r="AT222" s="2126">
        <f t="shared" si="450"/>
        <v>0.51558467786586226</v>
      </c>
      <c r="AU222" s="2126">
        <f t="shared" si="450"/>
        <v>0.88070781019854827</v>
      </c>
      <c r="AV222" s="2126">
        <f t="shared" si="450"/>
        <v>0</v>
      </c>
      <c r="AW222" s="2126">
        <f t="shared" si="450"/>
        <v>0</v>
      </c>
      <c r="AX222" s="2119">
        <f t="shared" ref="AX222:BE222" si="497">+AX223</f>
        <v>46098142.081118293</v>
      </c>
      <c r="AY222" s="2119">
        <f t="shared" si="497"/>
        <v>61374042.269999973</v>
      </c>
      <c r="AZ222" s="2119">
        <f t="shared" si="497"/>
        <v>0</v>
      </c>
      <c r="BA222" s="2119">
        <f t="shared" si="497"/>
        <v>0</v>
      </c>
      <c r="BB222" s="2119">
        <f t="shared" si="497"/>
        <v>0</v>
      </c>
      <c r="BC222" s="2119">
        <f t="shared" si="497"/>
        <v>0</v>
      </c>
      <c r="BD222" s="2119">
        <f t="shared" si="497"/>
        <v>0</v>
      </c>
      <c r="BE222" s="2119">
        <f t="shared" si="497"/>
        <v>0</v>
      </c>
      <c r="BF222" s="2125">
        <f t="shared" si="451"/>
        <v>0</v>
      </c>
      <c r="BG222" s="2125">
        <f t="shared" si="451"/>
        <v>0</v>
      </c>
      <c r="BH222" s="2125" t="e">
        <f t="shared" si="451"/>
        <v>#DIV/0!</v>
      </c>
      <c r="BI222" s="2125" t="e">
        <f t="shared" si="451"/>
        <v>#DIV/0!</v>
      </c>
      <c r="BJ222" s="2119">
        <f t="shared" si="491"/>
        <v>1893535511.8043056</v>
      </c>
      <c r="BK222" s="2127">
        <f t="shared" si="492"/>
        <v>737789859.74207318</v>
      </c>
      <c r="BL222" s="2128">
        <f t="shared" si="489"/>
        <v>0.38963613575910733</v>
      </c>
      <c r="BM222" s="2127">
        <f t="shared" si="490"/>
        <v>630317675.39095497</v>
      </c>
      <c r="BN222" s="2129">
        <f t="shared" si="471"/>
        <v>0.33287871891578102</v>
      </c>
      <c r="BO222" s="2166"/>
      <c r="BP222" s="2167"/>
      <c r="BQ222" s="2168"/>
      <c r="BR222" s="2130"/>
    </row>
    <row r="223" spans="1:70" ht="12.75" customHeight="1" thickBot="1">
      <c r="A223" s="2081" t="s">
        <v>2702</v>
      </c>
      <c r="B223" s="2081"/>
      <c r="C223" s="2082"/>
      <c r="D223" s="2082"/>
      <c r="E223" s="2083"/>
      <c r="F223" s="2083"/>
      <c r="G223" s="2083"/>
      <c r="H223" s="2083"/>
      <c r="I223" s="2083"/>
      <c r="J223" s="2083"/>
      <c r="K223" s="2083"/>
      <c r="L223" s="2083"/>
      <c r="M223" s="2083"/>
      <c r="N223" s="2083"/>
      <c r="O223" s="2083"/>
      <c r="P223" s="2084">
        <f>+SUMPRODUCT(P224:P231,Z224:Z231)</f>
        <v>0.88000000000000012</v>
      </c>
      <c r="Q223" s="2084">
        <f t="shared" ref="Q223:S223" si="498">+SUMPRODUCT(Q224:Q231,AA224:AA231)</f>
        <v>1</v>
      </c>
      <c r="R223" s="2084">
        <f t="shared" si="498"/>
        <v>0</v>
      </c>
      <c r="S223" s="2084" t="e">
        <f t="shared" si="498"/>
        <v>#DIV/0!</v>
      </c>
      <c r="T223" s="2169"/>
      <c r="U223" s="2081"/>
      <c r="V223" s="2088"/>
      <c r="W223" s="2089">
        <f t="shared" si="414"/>
        <v>0</v>
      </c>
      <c r="X223" s="2084">
        <f>+SUMPRODUCT(X224:X231,Y224:Y231)</f>
        <v>0.49921428571428583</v>
      </c>
      <c r="Y223" s="2085">
        <v>1</v>
      </c>
      <c r="Z223" s="2085">
        <v>1</v>
      </c>
      <c r="AA223" s="2085">
        <v>1</v>
      </c>
      <c r="AB223" s="2085">
        <v>1</v>
      </c>
      <c r="AC223" s="2085">
        <v>1</v>
      </c>
      <c r="AD223" s="2082">
        <f>SUM(AD224:AD231)</f>
        <v>343700511.80430561</v>
      </c>
      <c r="AE223" s="2082">
        <f>SUM(AE224:AE231)</f>
        <v>514485000</v>
      </c>
      <c r="AF223" s="2082">
        <f t="shared" ref="AF223:AG223" si="499">SUM(AF224:AF231)</f>
        <v>581185000</v>
      </c>
      <c r="AG223" s="2082">
        <f t="shared" si="499"/>
        <v>454165000</v>
      </c>
      <c r="AH223" s="2082">
        <f>SUM(AH224:AH231)</f>
        <v>223304859.74207318</v>
      </c>
      <c r="AI223" s="2082">
        <f t="shared" ref="AI223:AK223" si="500">SUM(AI224:AI231)</f>
        <v>514485000</v>
      </c>
      <c r="AJ223" s="2082">
        <f t="shared" si="500"/>
        <v>0</v>
      </c>
      <c r="AK223" s="2082">
        <f t="shared" si="500"/>
        <v>0</v>
      </c>
      <c r="AL223" s="2090">
        <f t="shared" si="449"/>
        <v>0.64970767302557098</v>
      </c>
      <c r="AM223" s="2090">
        <f t="shared" si="449"/>
        <v>1</v>
      </c>
      <c r="AN223" s="2090">
        <f t="shared" si="449"/>
        <v>0</v>
      </c>
      <c r="AO223" s="2090">
        <f t="shared" si="449"/>
        <v>0</v>
      </c>
      <c r="AP223" s="2082">
        <f t="shared" ref="AP223:AS223" si="501">SUM(AP224:AP231)</f>
        <v>177206717.66095489</v>
      </c>
      <c r="AQ223" s="2091">
        <f t="shared" si="501"/>
        <v>453110957.73000008</v>
      </c>
      <c r="AR223" s="2082">
        <f t="shared" si="501"/>
        <v>0</v>
      </c>
      <c r="AS223" s="2082">
        <f t="shared" si="501"/>
        <v>0</v>
      </c>
      <c r="AT223" s="2090">
        <f t="shared" si="450"/>
        <v>0.51558467786586226</v>
      </c>
      <c r="AU223" s="2090">
        <f t="shared" si="450"/>
        <v>0.88070781019854827</v>
      </c>
      <c r="AV223" s="2090">
        <f t="shared" si="450"/>
        <v>0</v>
      </c>
      <c r="AW223" s="2090">
        <f t="shared" si="450"/>
        <v>0</v>
      </c>
      <c r="AX223" s="2082">
        <f t="shared" ref="AX223:BE223" si="502">SUM(AX224:AX231)</f>
        <v>46098142.081118293</v>
      </c>
      <c r="AY223" s="2082">
        <f t="shared" si="502"/>
        <v>61374042.269999973</v>
      </c>
      <c r="AZ223" s="2082">
        <f t="shared" si="502"/>
        <v>0</v>
      </c>
      <c r="BA223" s="2082">
        <f t="shared" si="502"/>
        <v>0</v>
      </c>
      <c r="BB223" s="2082">
        <f t="shared" si="502"/>
        <v>0</v>
      </c>
      <c r="BC223" s="2082">
        <f t="shared" si="502"/>
        <v>0</v>
      </c>
      <c r="BD223" s="2082">
        <f t="shared" si="502"/>
        <v>0</v>
      </c>
      <c r="BE223" s="2082">
        <f t="shared" si="502"/>
        <v>0</v>
      </c>
      <c r="BF223" s="2085">
        <f t="shared" si="451"/>
        <v>0</v>
      </c>
      <c r="BG223" s="2085">
        <f t="shared" si="451"/>
        <v>0</v>
      </c>
      <c r="BH223" s="2085" t="e">
        <f t="shared" si="451"/>
        <v>#DIV/0!</v>
      </c>
      <c r="BI223" s="2085" t="e">
        <f t="shared" si="451"/>
        <v>#DIV/0!</v>
      </c>
      <c r="BJ223" s="2082">
        <f t="shared" si="491"/>
        <v>1893535511.8043056</v>
      </c>
      <c r="BK223" s="2091">
        <f t="shared" si="492"/>
        <v>737789859.74207318</v>
      </c>
      <c r="BL223" s="2092">
        <f t="shared" si="489"/>
        <v>0.38963613575910733</v>
      </c>
      <c r="BM223" s="2091">
        <f t="shared" si="490"/>
        <v>630317675.39095497</v>
      </c>
      <c r="BN223" s="2093">
        <f t="shared" si="471"/>
        <v>0.33287871891578102</v>
      </c>
      <c r="BO223" s="2170"/>
      <c r="BP223" s="2171"/>
      <c r="BQ223" s="2172"/>
      <c r="BR223" s="2094"/>
    </row>
    <row r="224" spans="1:70" ht="12.75" customHeight="1" thickBot="1">
      <c r="A224" s="1851" t="s">
        <v>2703</v>
      </c>
      <c r="B224" s="1867" t="s">
        <v>2704</v>
      </c>
      <c r="C224" s="1025" t="s">
        <v>2181</v>
      </c>
      <c r="D224" s="1790">
        <v>0</v>
      </c>
      <c r="E224" s="1791">
        <v>1</v>
      </c>
      <c r="F224" s="1791">
        <v>1</v>
      </c>
      <c r="G224" s="1792">
        <v>1</v>
      </c>
      <c r="H224" s="1627"/>
      <c r="I224" s="1030">
        <v>1</v>
      </c>
      <c r="J224" s="1030"/>
      <c r="K224" s="1030"/>
      <c r="L224" s="1030"/>
      <c r="M224" s="1031"/>
      <c r="N224" s="1031"/>
      <c r="O224" s="1031"/>
      <c r="P224" s="1032"/>
      <c r="Q224" s="1032">
        <f t="shared" ref="Q224:S231" si="503">IF((I224+M224)/E224&gt;=100%,100%,(I224+M224)/E224)</f>
        <v>1</v>
      </c>
      <c r="R224" s="1032">
        <f t="shared" si="503"/>
        <v>0</v>
      </c>
      <c r="S224" s="1032">
        <f t="shared" si="503"/>
        <v>0</v>
      </c>
      <c r="T224" s="1136" t="s">
        <v>2705</v>
      </c>
      <c r="U224" s="1034">
        <v>46022</v>
      </c>
      <c r="V224" s="1035">
        <f t="shared" ref="V224:V231" si="504">SUM(D224:G224)</f>
        <v>3</v>
      </c>
      <c r="W224" s="1035">
        <f t="shared" ref="W224:W231" si="505">SUM(H224:N224)</f>
        <v>1</v>
      </c>
      <c r="X224" s="1279">
        <f t="shared" si="412"/>
        <v>0.33333333333333331</v>
      </c>
      <c r="Y224" s="1037">
        <v>2.5000000000000001E-2</v>
      </c>
      <c r="Z224" s="1037">
        <v>0</v>
      </c>
      <c r="AA224" s="1037">
        <v>2.5000000000000001E-2</v>
      </c>
      <c r="AB224" s="1037">
        <v>2.5000000000000001E-2</v>
      </c>
      <c r="AC224" s="1037">
        <v>2.5000000000000001E-2</v>
      </c>
      <c r="AD224" s="1137">
        <v>0</v>
      </c>
      <c r="AE224" s="1137">
        <v>69255000</v>
      </c>
      <c r="AF224" s="1137">
        <v>19000000</v>
      </c>
      <c r="AG224" s="1137">
        <v>20000000</v>
      </c>
      <c r="AH224" s="1137">
        <v>0</v>
      </c>
      <c r="AI224" s="1137">
        <f>138510000/2</f>
        <v>69255000</v>
      </c>
      <c r="AJ224" s="1137"/>
      <c r="AK224" s="1137"/>
      <c r="AL224" s="1112" t="e">
        <f t="shared" si="449"/>
        <v>#DIV/0!</v>
      </c>
      <c r="AM224" s="1112">
        <f t="shared" si="449"/>
        <v>1</v>
      </c>
      <c r="AN224" s="1112">
        <f t="shared" si="449"/>
        <v>0</v>
      </c>
      <c r="AO224" s="1112">
        <f t="shared" si="449"/>
        <v>0</v>
      </c>
      <c r="AP224" s="1283">
        <v>0</v>
      </c>
      <c r="AQ224" s="1041">
        <f>130060657.09/2</f>
        <v>65030328.545000002</v>
      </c>
      <c r="AR224" s="1552"/>
      <c r="AS224" s="1042"/>
      <c r="AT224" s="1140" t="e">
        <f t="shared" si="450"/>
        <v>#DIV/0!</v>
      </c>
      <c r="AU224" s="1140">
        <f t="shared" si="450"/>
        <v>0.93899831846076098</v>
      </c>
      <c r="AV224" s="1140">
        <f t="shared" si="450"/>
        <v>0</v>
      </c>
      <c r="AW224" s="1140">
        <f t="shared" si="450"/>
        <v>0</v>
      </c>
      <c r="AX224" s="1044">
        <f t="shared" ref="AX224:BA231" si="506">+AH224-AP224</f>
        <v>0</v>
      </c>
      <c r="AY224" s="1044">
        <f t="shared" si="506"/>
        <v>4224671.4549999982</v>
      </c>
      <c r="AZ224" s="1044">
        <f t="shared" si="506"/>
        <v>0</v>
      </c>
      <c r="BA224" s="1044">
        <f t="shared" si="506"/>
        <v>0</v>
      </c>
      <c r="BB224" s="1283"/>
      <c r="BC224" s="1283"/>
      <c r="BD224" s="1283"/>
      <c r="BE224" s="1283"/>
      <c r="BF224" s="1045" t="e">
        <f t="shared" si="451"/>
        <v>#DIV/0!</v>
      </c>
      <c r="BG224" s="1045">
        <f t="shared" si="451"/>
        <v>0</v>
      </c>
      <c r="BH224" s="1045" t="e">
        <f t="shared" si="451"/>
        <v>#DIV/0!</v>
      </c>
      <c r="BI224" s="1045" t="e">
        <f t="shared" si="451"/>
        <v>#DIV/0!</v>
      </c>
      <c r="BJ224" s="1283">
        <f t="shared" si="491"/>
        <v>108255000</v>
      </c>
      <c r="BK224" s="1046">
        <f t="shared" si="492"/>
        <v>69255000</v>
      </c>
      <c r="BL224" s="1047">
        <f t="shared" si="489"/>
        <v>0.63973950394900925</v>
      </c>
      <c r="BM224" s="1046">
        <f t="shared" si="490"/>
        <v>65030328.545000002</v>
      </c>
      <c r="BN224" s="1048">
        <f t="shared" si="471"/>
        <v>0.60071431846104106</v>
      </c>
      <c r="BO224" s="2101"/>
      <c r="BP224" s="1512" t="s">
        <v>2637</v>
      </c>
      <c r="BQ224" s="1794" t="s">
        <v>2193</v>
      </c>
      <c r="BR224" s="1146" t="s">
        <v>596</v>
      </c>
    </row>
    <row r="225" spans="1:70" ht="12.75" customHeight="1" thickBot="1">
      <c r="A225" s="1904" t="s">
        <v>2706</v>
      </c>
      <c r="B225" s="1869" t="s">
        <v>2707</v>
      </c>
      <c r="C225" s="1554" t="s">
        <v>597</v>
      </c>
      <c r="D225" s="1890">
        <v>0.8</v>
      </c>
      <c r="E225" s="1891">
        <v>0.85</v>
      </c>
      <c r="F225" s="1891">
        <v>0.9</v>
      </c>
      <c r="G225" s="1892">
        <v>0.95</v>
      </c>
      <c r="H225" s="1893">
        <v>0.8</v>
      </c>
      <c r="I225" s="1514">
        <v>0.90400000000000003</v>
      </c>
      <c r="J225" s="1060"/>
      <c r="K225" s="1060"/>
      <c r="L225" s="1060"/>
      <c r="M225" s="1061"/>
      <c r="N225" s="1061"/>
      <c r="O225" s="1061"/>
      <c r="P225" s="1062">
        <f t="shared" ref="P225:P231" si="507">IF((H225+L225)/D225&gt;=100%,100%,(H225+L225)/D225)</f>
        <v>1</v>
      </c>
      <c r="Q225" s="1062">
        <f t="shared" si="503"/>
        <v>1</v>
      </c>
      <c r="R225" s="1062">
        <f t="shared" si="503"/>
        <v>0</v>
      </c>
      <c r="S225" s="1062">
        <f t="shared" si="503"/>
        <v>0</v>
      </c>
      <c r="T225" s="1669" t="s">
        <v>2708</v>
      </c>
      <c r="U225" s="1034">
        <v>46022</v>
      </c>
      <c r="V225" s="1035">
        <f t="shared" si="504"/>
        <v>3.5</v>
      </c>
      <c r="W225" s="1035">
        <f t="shared" si="505"/>
        <v>1.7040000000000002</v>
      </c>
      <c r="X225" s="1327">
        <f t="shared" si="412"/>
        <v>0.48685714285714293</v>
      </c>
      <c r="Y225" s="1065">
        <v>0.25</v>
      </c>
      <c r="Z225" s="1065">
        <v>0.3</v>
      </c>
      <c r="AA225" s="1065">
        <v>0.25</v>
      </c>
      <c r="AB225" s="1065">
        <v>0.25</v>
      </c>
      <c r="AC225" s="1065">
        <v>0.25</v>
      </c>
      <c r="AD225" s="1066">
        <f>79800000+(78100511.8043056/2)</f>
        <v>118850255.90215281</v>
      </c>
      <c r="AE225" s="1137">
        <v>69255000</v>
      </c>
      <c r="AF225" s="1137">
        <v>125685000</v>
      </c>
      <c r="AG225" s="1137">
        <v>138915000</v>
      </c>
      <c r="AH225" s="1066">
        <f>26168440+(78100511.7420732/2)</f>
        <v>65218695.871036597</v>
      </c>
      <c r="AI225" s="1137">
        <f>138510000/2</f>
        <v>69255000</v>
      </c>
      <c r="AJ225" s="1137"/>
      <c r="AK225" s="1137"/>
      <c r="AL225" s="1074">
        <f t="shared" si="449"/>
        <v>0.54874678540641875</v>
      </c>
      <c r="AM225" s="1074">
        <f t="shared" si="449"/>
        <v>1</v>
      </c>
      <c r="AN225" s="1074">
        <f t="shared" si="449"/>
        <v>0</v>
      </c>
      <c r="AO225" s="1074">
        <f t="shared" si="449"/>
        <v>0</v>
      </c>
      <c r="AP225" s="1070">
        <f>26168440+(66979801.6609549/2)</f>
        <v>59658340.830477446</v>
      </c>
      <c r="AQ225" s="1041">
        <f>130060657.09/2</f>
        <v>65030328.545000002</v>
      </c>
      <c r="AR225" s="1560"/>
      <c r="AS225" s="1069"/>
      <c r="AT225" s="1140">
        <f t="shared" si="450"/>
        <v>0.5019622412895185</v>
      </c>
      <c r="AU225" s="1140">
        <f t="shared" si="450"/>
        <v>0.93899831846076098</v>
      </c>
      <c r="AV225" s="1140">
        <f t="shared" si="450"/>
        <v>0</v>
      </c>
      <c r="AW225" s="1140">
        <f t="shared" si="450"/>
        <v>0</v>
      </c>
      <c r="AX225" s="1044">
        <f t="shared" si="506"/>
        <v>5560355.0405591503</v>
      </c>
      <c r="AY225" s="1044">
        <f t="shared" si="506"/>
        <v>4224671.4549999982</v>
      </c>
      <c r="AZ225" s="1044">
        <f t="shared" si="506"/>
        <v>0</v>
      </c>
      <c r="BA225" s="1044">
        <f t="shared" si="506"/>
        <v>0</v>
      </c>
      <c r="BB225" s="1070"/>
      <c r="BC225" s="1070"/>
      <c r="BD225" s="1070"/>
      <c r="BE225" s="1070"/>
      <c r="BF225" s="1071">
        <f t="shared" si="451"/>
        <v>0</v>
      </c>
      <c r="BG225" s="1071">
        <f t="shared" si="451"/>
        <v>0</v>
      </c>
      <c r="BH225" s="1071" t="e">
        <f t="shared" si="451"/>
        <v>#DIV/0!</v>
      </c>
      <c r="BI225" s="1071" t="e">
        <f t="shared" si="451"/>
        <v>#DIV/0!</v>
      </c>
      <c r="BJ225" s="1070">
        <f t="shared" si="491"/>
        <v>452705255.90215278</v>
      </c>
      <c r="BK225" s="1072">
        <f t="shared" si="492"/>
        <v>134473695.87103659</v>
      </c>
      <c r="BL225" s="1073">
        <f t="shared" si="489"/>
        <v>0.29704469766549735</v>
      </c>
      <c r="BM225" s="1072">
        <f t="shared" si="490"/>
        <v>124688669.37547745</v>
      </c>
      <c r="BN225" s="1074">
        <f t="shared" si="471"/>
        <v>0.27543013417636908</v>
      </c>
      <c r="BO225" s="2106" t="s">
        <v>2653</v>
      </c>
      <c r="BP225" s="1512" t="s">
        <v>2637</v>
      </c>
      <c r="BQ225" s="1873" t="s">
        <v>2193</v>
      </c>
      <c r="BR225" s="1083" t="s">
        <v>596</v>
      </c>
    </row>
    <row r="226" spans="1:70" ht="12.75" customHeight="1" thickBot="1">
      <c r="A226" s="1868" t="s">
        <v>2709</v>
      </c>
      <c r="B226" s="1869" t="s">
        <v>2710</v>
      </c>
      <c r="C226" s="1299" t="s">
        <v>2181</v>
      </c>
      <c r="D226" s="1870">
        <v>1</v>
      </c>
      <c r="E226" s="1871">
        <v>2</v>
      </c>
      <c r="F226" s="1871">
        <v>1</v>
      </c>
      <c r="G226" s="1872">
        <v>1</v>
      </c>
      <c r="H226" s="1659">
        <v>0</v>
      </c>
      <c r="I226" s="1060">
        <v>2</v>
      </c>
      <c r="J226" s="1060"/>
      <c r="K226" s="1060"/>
      <c r="L226" s="1060"/>
      <c r="M226" s="1061"/>
      <c r="N226" s="1061"/>
      <c r="O226" s="1061"/>
      <c r="P226" s="1062">
        <f t="shared" si="507"/>
        <v>0</v>
      </c>
      <c r="Q226" s="1062">
        <f t="shared" si="503"/>
        <v>1</v>
      </c>
      <c r="R226" s="1062">
        <f t="shared" si="503"/>
        <v>0</v>
      </c>
      <c r="S226" s="1062">
        <f t="shared" si="503"/>
        <v>0</v>
      </c>
      <c r="T226" s="1669" t="s">
        <v>2711</v>
      </c>
      <c r="U226" s="1034">
        <v>46022</v>
      </c>
      <c r="V226" s="1035">
        <f t="shared" si="504"/>
        <v>5</v>
      </c>
      <c r="W226" s="1035">
        <f t="shared" si="505"/>
        <v>2</v>
      </c>
      <c r="X226" s="1327">
        <f t="shared" si="412"/>
        <v>0.4</v>
      </c>
      <c r="Y226" s="1065">
        <v>0.1</v>
      </c>
      <c r="Z226" s="1065">
        <v>0.12</v>
      </c>
      <c r="AA226" s="1065">
        <v>0.1</v>
      </c>
      <c r="AB226" s="1065">
        <v>0.1</v>
      </c>
      <c r="AC226" s="1065">
        <v>0.1</v>
      </c>
      <c r="AD226" s="1066">
        <v>31500000</v>
      </c>
      <c r="AE226" s="1066">
        <v>63000000</v>
      </c>
      <c r="AF226" s="1066">
        <v>45000000</v>
      </c>
      <c r="AG226" s="1066">
        <v>50000000</v>
      </c>
      <c r="AH226" s="1066">
        <v>15744680</v>
      </c>
      <c r="AI226" s="1066">
        <v>63000000</v>
      </c>
      <c r="AJ226" s="1066"/>
      <c r="AK226" s="1066"/>
      <c r="AL226" s="1074">
        <f t="shared" si="449"/>
        <v>0.49983111111111111</v>
      </c>
      <c r="AM226" s="1074">
        <f t="shared" si="449"/>
        <v>1</v>
      </c>
      <c r="AN226" s="1074">
        <f t="shared" si="449"/>
        <v>0</v>
      </c>
      <c r="AO226" s="1074">
        <f t="shared" si="449"/>
        <v>0</v>
      </c>
      <c r="AP226" s="1070">
        <v>15744680</v>
      </c>
      <c r="AQ226" s="1068">
        <v>52028193.770000003</v>
      </c>
      <c r="AR226" s="1560"/>
      <c r="AS226" s="1069"/>
      <c r="AT226" s="1140">
        <f t="shared" si="450"/>
        <v>0.49983111111111111</v>
      </c>
      <c r="AU226" s="1140">
        <f t="shared" si="450"/>
        <v>0.82584434555555564</v>
      </c>
      <c r="AV226" s="1140">
        <f t="shared" si="450"/>
        <v>0</v>
      </c>
      <c r="AW226" s="1140">
        <f t="shared" si="450"/>
        <v>0</v>
      </c>
      <c r="AX226" s="1044">
        <f t="shared" si="506"/>
        <v>0</v>
      </c>
      <c r="AY226" s="1044">
        <f t="shared" si="506"/>
        <v>10971806.229999997</v>
      </c>
      <c r="AZ226" s="1044">
        <f t="shared" si="506"/>
        <v>0</v>
      </c>
      <c r="BA226" s="1044">
        <f t="shared" si="506"/>
        <v>0</v>
      </c>
      <c r="BB226" s="1070"/>
      <c r="BC226" s="1070"/>
      <c r="BD226" s="1070"/>
      <c r="BE226" s="1070"/>
      <c r="BF226" s="1071" t="e">
        <f t="shared" si="451"/>
        <v>#DIV/0!</v>
      </c>
      <c r="BG226" s="1071">
        <f t="shared" si="451"/>
        <v>0</v>
      </c>
      <c r="BH226" s="1071" t="e">
        <f t="shared" si="451"/>
        <v>#DIV/0!</v>
      </c>
      <c r="BI226" s="1071" t="e">
        <f t="shared" si="451"/>
        <v>#DIV/0!</v>
      </c>
      <c r="BJ226" s="1070">
        <f t="shared" si="491"/>
        <v>189500000</v>
      </c>
      <c r="BK226" s="1072">
        <f t="shared" si="492"/>
        <v>78744680</v>
      </c>
      <c r="BL226" s="1073">
        <f t="shared" si="489"/>
        <v>0.41553920844327175</v>
      </c>
      <c r="BM226" s="1072">
        <f t="shared" si="490"/>
        <v>67772873.770000011</v>
      </c>
      <c r="BN226" s="1074">
        <f t="shared" si="471"/>
        <v>0.35764049482849608</v>
      </c>
      <c r="BO226" s="2106"/>
      <c r="BP226" s="1512" t="s">
        <v>2637</v>
      </c>
      <c r="BQ226" s="1873" t="s">
        <v>2193</v>
      </c>
      <c r="BR226" s="1083" t="s">
        <v>596</v>
      </c>
    </row>
    <row r="227" spans="1:70" ht="12.75" customHeight="1" thickBot="1">
      <c r="A227" s="1654" t="s">
        <v>2712</v>
      </c>
      <c r="B227" s="1869" t="s">
        <v>2713</v>
      </c>
      <c r="C227" s="1055" t="s">
        <v>2181</v>
      </c>
      <c r="D227" s="1870">
        <v>2</v>
      </c>
      <c r="E227" s="1871">
        <v>3</v>
      </c>
      <c r="F227" s="1871">
        <v>2</v>
      </c>
      <c r="G227" s="1872">
        <v>1</v>
      </c>
      <c r="H227" s="1659">
        <v>2</v>
      </c>
      <c r="I227" s="1060">
        <v>3</v>
      </c>
      <c r="J227" s="1060"/>
      <c r="K227" s="1060"/>
      <c r="L227" s="1060"/>
      <c r="M227" s="1061"/>
      <c r="N227" s="1061"/>
      <c r="O227" s="1061"/>
      <c r="P227" s="1062">
        <f t="shared" si="507"/>
        <v>1</v>
      </c>
      <c r="Q227" s="1062">
        <f t="shared" si="503"/>
        <v>1</v>
      </c>
      <c r="R227" s="1062">
        <f t="shared" si="503"/>
        <v>0</v>
      </c>
      <c r="S227" s="1062">
        <f t="shared" si="503"/>
        <v>0</v>
      </c>
      <c r="T227" s="1669" t="s">
        <v>2714</v>
      </c>
      <c r="U227" s="1034">
        <v>46022</v>
      </c>
      <c r="V227" s="1035">
        <f t="shared" si="504"/>
        <v>8</v>
      </c>
      <c r="W227" s="1035">
        <f t="shared" si="505"/>
        <v>5</v>
      </c>
      <c r="X227" s="1327">
        <f t="shared" si="412"/>
        <v>0.625</v>
      </c>
      <c r="Y227" s="1065">
        <v>0.2</v>
      </c>
      <c r="Z227" s="1065">
        <v>0.25</v>
      </c>
      <c r="AA227" s="1065">
        <v>0.2</v>
      </c>
      <c r="AB227" s="1065">
        <v>0.2</v>
      </c>
      <c r="AC227" s="1065">
        <v>0.2</v>
      </c>
      <c r="AD227" s="1066">
        <f>74500000/2</f>
        <v>37250000</v>
      </c>
      <c r="AE227" s="1066">
        <v>65137500</v>
      </c>
      <c r="AF227" s="1066">
        <v>120000000</v>
      </c>
      <c r="AG227" s="1066">
        <v>70000000</v>
      </c>
      <c r="AH227" s="1066">
        <f>29768440/2</f>
        <v>14884220</v>
      </c>
      <c r="AI227" s="1066">
        <f>130275000/2</f>
        <v>65137500</v>
      </c>
      <c r="AJ227" s="1066"/>
      <c r="AK227" s="1066"/>
      <c r="AL227" s="1074">
        <f t="shared" si="449"/>
        <v>0.39957637583892619</v>
      </c>
      <c r="AM227" s="1074">
        <f t="shared" si="449"/>
        <v>1</v>
      </c>
      <c r="AN227" s="1074">
        <f t="shared" si="449"/>
        <v>0</v>
      </c>
      <c r="AO227" s="1074">
        <f t="shared" si="449"/>
        <v>0</v>
      </c>
      <c r="AP227" s="1070">
        <f>26168440/2</f>
        <v>13084220</v>
      </c>
      <c r="AQ227" s="1675">
        <f>103108387.29/2</f>
        <v>51554193.645000003</v>
      </c>
      <c r="AR227" s="1560"/>
      <c r="AS227" s="1069"/>
      <c r="AT227" s="1140">
        <f t="shared" si="450"/>
        <v>0.35125422818791946</v>
      </c>
      <c r="AU227" s="1140">
        <f t="shared" si="450"/>
        <v>0.79146718318940712</v>
      </c>
      <c r="AV227" s="1140">
        <f t="shared" si="450"/>
        <v>0</v>
      </c>
      <c r="AW227" s="1140">
        <f t="shared" si="450"/>
        <v>0</v>
      </c>
      <c r="AX227" s="1044">
        <f t="shared" si="506"/>
        <v>1800000</v>
      </c>
      <c r="AY227" s="1044">
        <f t="shared" si="506"/>
        <v>13583306.354999997</v>
      </c>
      <c r="AZ227" s="1044">
        <f t="shared" si="506"/>
        <v>0</v>
      </c>
      <c r="BA227" s="1044">
        <f t="shared" si="506"/>
        <v>0</v>
      </c>
      <c r="BB227" s="1070"/>
      <c r="BC227" s="1070"/>
      <c r="BD227" s="1070"/>
      <c r="BE227" s="1070"/>
      <c r="BF227" s="1071">
        <f t="shared" si="451"/>
        <v>0</v>
      </c>
      <c r="BG227" s="1071">
        <f t="shared" si="451"/>
        <v>0</v>
      </c>
      <c r="BH227" s="1071" t="e">
        <f t="shared" si="451"/>
        <v>#DIV/0!</v>
      </c>
      <c r="BI227" s="1071" t="e">
        <f t="shared" si="451"/>
        <v>#DIV/0!</v>
      </c>
      <c r="BJ227" s="1070">
        <f t="shared" si="491"/>
        <v>292387500</v>
      </c>
      <c r="BK227" s="1072">
        <f t="shared" si="492"/>
        <v>80021720</v>
      </c>
      <c r="BL227" s="1073">
        <f t="shared" si="489"/>
        <v>0.27368379291180367</v>
      </c>
      <c r="BM227" s="1072">
        <f t="shared" si="490"/>
        <v>64638413.645000003</v>
      </c>
      <c r="BN227" s="1074">
        <f t="shared" si="471"/>
        <v>0.22107105688512677</v>
      </c>
      <c r="BO227" s="2106"/>
      <c r="BP227" s="1512" t="s">
        <v>2637</v>
      </c>
      <c r="BQ227" s="1873" t="s">
        <v>2193</v>
      </c>
      <c r="BR227" s="1083" t="s">
        <v>596</v>
      </c>
    </row>
    <row r="228" spans="1:70" ht="12.75" customHeight="1" thickBot="1">
      <c r="A228" s="1654" t="s">
        <v>2715</v>
      </c>
      <c r="B228" s="1869" t="s">
        <v>2716</v>
      </c>
      <c r="C228" s="1055" t="s">
        <v>2181</v>
      </c>
      <c r="D228" s="1870">
        <v>0</v>
      </c>
      <c r="E228" s="1871">
        <v>0</v>
      </c>
      <c r="F228" s="1871">
        <v>3</v>
      </c>
      <c r="G228" s="1872">
        <v>0</v>
      </c>
      <c r="H228" s="1659"/>
      <c r="I228" s="1060"/>
      <c r="J228" s="1060"/>
      <c r="K228" s="1060"/>
      <c r="L228" s="1060"/>
      <c r="M228" s="1061"/>
      <c r="N228" s="1061"/>
      <c r="O228" s="1061"/>
      <c r="P228" s="1062"/>
      <c r="Q228" s="1062"/>
      <c r="R228" s="1062">
        <f t="shared" si="503"/>
        <v>0</v>
      </c>
      <c r="S228" s="1062" t="e">
        <f t="shared" si="503"/>
        <v>#DIV/0!</v>
      </c>
      <c r="T228" s="1793"/>
      <c r="U228" s="1034">
        <v>46022</v>
      </c>
      <c r="V228" s="1035">
        <f t="shared" si="504"/>
        <v>3</v>
      </c>
      <c r="W228" s="1035">
        <f t="shared" si="505"/>
        <v>0</v>
      </c>
      <c r="X228" s="1327">
        <f t="shared" si="412"/>
        <v>0</v>
      </c>
      <c r="Y228" s="1065">
        <v>0.05</v>
      </c>
      <c r="Z228" s="1065">
        <v>0</v>
      </c>
      <c r="AA228" s="1065">
        <v>0</v>
      </c>
      <c r="AB228" s="1065">
        <v>0</v>
      </c>
      <c r="AC228" s="1065">
        <v>0</v>
      </c>
      <c r="AD228" s="1066">
        <v>0</v>
      </c>
      <c r="AE228" s="1066">
        <v>0</v>
      </c>
      <c r="AF228" s="1066">
        <v>75000000</v>
      </c>
      <c r="AG228" s="1066">
        <v>0</v>
      </c>
      <c r="AH228" s="1066">
        <v>0</v>
      </c>
      <c r="AI228" s="1066"/>
      <c r="AJ228" s="1066"/>
      <c r="AK228" s="1066"/>
      <c r="AL228" s="1112" t="e">
        <f t="shared" si="449"/>
        <v>#DIV/0!</v>
      </c>
      <c r="AM228" s="1112" t="e">
        <f t="shared" si="449"/>
        <v>#DIV/0!</v>
      </c>
      <c r="AN228" s="1112">
        <f t="shared" si="449"/>
        <v>0</v>
      </c>
      <c r="AO228" s="1112" t="e">
        <f t="shared" si="449"/>
        <v>#DIV/0!</v>
      </c>
      <c r="AP228" s="1070">
        <v>0</v>
      </c>
      <c r="AQ228" s="1068"/>
      <c r="AR228" s="1560"/>
      <c r="AS228" s="1069"/>
      <c r="AT228" s="1140" t="e">
        <f t="shared" si="450"/>
        <v>#DIV/0!</v>
      </c>
      <c r="AU228" s="1140" t="e">
        <f t="shared" si="450"/>
        <v>#DIV/0!</v>
      </c>
      <c r="AV228" s="1140">
        <f t="shared" si="450"/>
        <v>0</v>
      </c>
      <c r="AW228" s="1140" t="e">
        <f t="shared" si="450"/>
        <v>#DIV/0!</v>
      </c>
      <c r="AX228" s="1044">
        <f t="shared" si="506"/>
        <v>0</v>
      </c>
      <c r="AY228" s="1044">
        <f t="shared" si="506"/>
        <v>0</v>
      </c>
      <c r="AZ228" s="1044">
        <f t="shared" si="506"/>
        <v>0</v>
      </c>
      <c r="BA228" s="1044">
        <f t="shared" si="506"/>
        <v>0</v>
      </c>
      <c r="BB228" s="1070"/>
      <c r="BC228" s="1070"/>
      <c r="BD228" s="1070"/>
      <c r="BE228" s="1070"/>
      <c r="BF228" s="1071" t="e">
        <f t="shared" si="451"/>
        <v>#DIV/0!</v>
      </c>
      <c r="BG228" s="1071" t="e">
        <f t="shared" si="451"/>
        <v>#DIV/0!</v>
      </c>
      <c r="BH228" s="1071" t="e">
        <f t="shared" si="451"/>
        <v>#DIV/0!</v>
      </c>
      <c r="BI228" s="1071" t="e">
        <f t="shared" si="451"/>
        <v>#DIV/0!</v>
      </c>
      <c r="BJ228" s="1070">
        <f t="shared" si="491"/>
        <v>75000000</v>
      </c>
      <c r="BK228" s="1072">
        <f t="shared" si="492"/>
        <v>0</v>
      </c>
      <c r="BL228" s="1073">
        <f t="shared" si="489"/>
        <v>0</v>
      </c>
      <c r="BM228" s="1072">
        <f t="shared" si="490"/>
        <v>0</v>
      </c>
      <c r="BN228" s="1074">
        <f t="shared" si="471"/>
        <v>0</v>
      </c>
      <c r="BO228" s="2106"/>
      <c r="BP228" s="1512" t="s">
        <v>2637</v>
      </c>
      <c r="BQ228" s="1873" t="s">
        <v>2193</v>
      </c>
      <c r="BR228" s="1083" t="s">
        <v>596</v>
      </c>
    </row>
    <row r="229" spans="1:70" ht="12.75" customHeight="1" thickBot="1">
      <c r="A229" s="1654" t="s">
        <v>2717</v>
      </c>
      <c r="B229" s="1869" t="s">
        <v>2718</v>
      </c>
      <c r="C229" s="1055" t="s">
        <v>2181</v>
      </c>
      <c r="D229" s="1870">
        <v>1</v>
      </c>
      <c r="E229" s="1871">
        <v>1</v>
      </c>
      <c r="F229" s="1871">
        <v>1</v>
      </c>
      <c r="G229" s="1872">
        <v>1</v>
      </c>
      <c r="H229" s="1659">
        <v>1</v>
      </c>
      <c r="I229" s="1060">
        <v>1</v>
      </c>
      <c r="J229" s="1060"/>
      <c r="K229" s="1060"/>
      <c r="L229" s="1060"/>
      <c r="M229" s="1061"/>
      <c r="N229" s="1061"/>
      <c r="O229" s="1061"/>
      <c r="P229" s="1062">
        <f t="shared" si="507"/>
        <v>1</v>
      </c>
      <c r="Q229" s="1062">
        <f t="shared" si="503"/>
        <v>1</v>
      </c>
      <c r="R229" s="1062">
        <f t="shared" si="503"/>
        <v>0</v>
      </c>
      <c r="S229" s="1062">
        <f t="shared" si="503"/>
        <v>0</v>
      </c>
      <c r="T229" s="1669" t="s">
        <v>2719</v>
      </c>
      <c r="U229" s="1034">
        <v>46022</v>
      </c>
      <c r="V229" s="1035">
        <f t="shared" si="504"/>
        <v>4</v>
      </c>
      <c r="W229" s="1035">
        <f t="shared" si="505"/>
        <v>2</v>
      </c>
      <c r="X229" s="1327">
        <f t="shared" si="412"/>
        <v>0.5</v>
      </c>
      <c r="Y229" s="1065">
        <v>2.5000000000000001E-2</v>
      </c>
      <c r="Z229" s="1065">
        <v>0.03</v>
      </c>
      <c r="AA229" s="1065">
        <v>2.5000000000000001E-2</v>
      </c>
      <c r="AB229" s="1065">
        <v>2.5000000000000001E-2</v>
      </c>
      <c r="AC229" s="1065">
        <v>2.5000000000000001E-2</v>
      </c>
      <c r="AD229" s="1066">
        <f>74500000/2</f>
        <v>37250000</v>
      </c>
      <c r="AE229" s="1066">
        <v>65137500</v>
      </c>
      <c r="AF229" s="1066">
        <v>5000000</v>
      </c>
      <c r="AG229" s="1066">
        <v>5250000</v>
      </c>
      <c r="AH229" s="1066">
        <f>29768440/2</f>
        <v>14884220</v>
      </c>
      <c r="AI229" s="1066">
        <f>130275000/2</f>
        <v>65137500</v>
      </c>
      <c r="AJ229" s="1066"/>
      <c r="AK229" s="1066"/>
      <c r="AL229" s="1074">
        <f t="shared" si="449"/>
        <v>0.39957637583892619</v>
      </c>
      <c r="AM229" s="1074">
        <f t="shared" si="449"/>
        <v>1</v>
      </c>
      <c r="AN229" s="1074">
        <f t="shared" si="449"/>
        <v>0</v>
      </c>
      <c r="AO229" s="1074">
        <f t="shared" si="449"/>
        <v>0</v>
      </c>
      <c r="AP229" s="1070">
        <f>26168440/2</f>
        <v>13084220</v>
      </c>
      <c r="AQ229" s="1675">
        <f>103108387.29/2</f>
        <v>51554193.645000003</v>
      </c>
      <c r="AR229" s="1560"/>
      <c r="AS229" s="1069"/>
      <c r="AT229" s="1140">
        <f t="shared" si="450"/>
        <v>0.35125422818791946</v>
      </c>
      <c r="AU229" s="1140">
        <f t="shared" si="450"/>
        <v>0.79146718318940712</v>
      </c>
      <c r="AV229" s="1140">
        <f t="shared" si="450"/>
        <v>0</v>
      </c>
      <c r="AW229" s="1140">
        <f t="shared" si="450"/>
        <v>0</v>
      </c>
      <c r="AX229" s="1044">
        <f t="shared" si="506"/>
        <v>1800000</v>
      </c>
      <c r="AY229" s="1044">
        <f t="shared" si="506"/>
        <v>13583306.354999997</v>
      </c>
      <c r="AZ229" s="1044">
        <f t="shared" si="506"/>
        <v>0</v>
      </c>
      <c r="BA229" s="1044">
        <f t="shared" si="506"/>
        <v>0</v>
      </c>
      <c r="BB229" s="1070"/>
      <c r="BC229" s="1070"/>
      <c r="BD229" s="1070"/>
      <c r="BE229" s="1070"/>
      <c r="BF229" s="1071">
        <f t="shared" si="451"/>
        <v>0</v>
      </c>
      <c r="BG229" s="1071">
        <f t="shared" si="451"/>
        <v>0</v>
      </c>
      <c r="BH229" s="1071" t="e">
        <f t="shared" si="451"/>
        <v>#DIV/0!</v>
      </c>
      <c r="BI229" s="1071" t="e">
        <f t="shared" si="451"/>
        <v>#DIV/0!</v>
      </c>
      <c r="BJ229" s="1070">
        <f t="shared" si="491"/>
        <v>112637500</v>
      </c>
      <c r="BK229" s="1072">
        <f t="shared" si="492"/>
        <v>80021720</v>
      </c>
      <c r="BL229" s="1073">
        <f t="shared" si="489"/>
        <v>0.71043586727333263</v>
      </c>
      <c r="BM229" s="1072">
        <f t="shared" si="490"/>
        <v>64638413.645000003</v>
      </c>
      <c r="BN229" s="1074">
        <f t="shared" si="471"/>
        <v>0.57386228960159813</v>
      </c>
      <c r="BO229" s="2106"/>
      <c r="BP229" s="1512" t="s">
        <v>2637</v>
      </c>
      <c r="BQ229" s="1873" t="s">
        <v>2193</v>
      </c>
      <c r="BR229" s="1083" t="s">
        <v>596</v>
      </c>
    </row>
    <row r="230" spans="1:70" ht="12.75" customHeight="1" thickBot="1">
      <c r="A230" s="1654" t="s">
        <v>2720</v>
      </c>
      <c r="B230" s="1869" t="s">
        <v>2721</v>
      </c>
      <c r="C230" s="1554" t="s">
        <v>597</v>
      </c>
      <c r="D230" s="1870">
        <v>0</v>
      </c>
      <c r="E230" s="1891">
        <v>0.5</v>
      </c>
      <c r="F230" s="1891">
        <v>0.5</v>
      </c>
      <c r="G230" s="1872">
        <v>0</v>
      </c>
      <c r="H230" s="1659"/>
      <c r="I230" s="1514">
        <v>0.5</v>
      </c>
      <c r="J230" s="1060"/>
      <c r="K230" s="1060"/>
      <c r="L230" s="1060"/>
      <c r="M230" s="1061"/>
      <c r="N230" s="1061"/>
      <c r="O230" s="1061"/>
      <c r="P230" s="1062"/>
      <c r="Q230" s="1062">
        <f t="shared" si="503"/>
        <v>1</v>
      </c>
      <c r="R230" s="1062">
        <f t="shared" si="503"/>
        <v>0</v>
      </c>
      <c r="S230" s="1062" t="e">
        <f t="shared" si="503"/>
        <v>#DIV/0!</v>
      </c>
      <c r="T230" s="1136" t="s">
        <v>2722</v>
      </c>
      <c r="U230" s="1034">
        <v>46022</v>
      </c>
      <c r="V230" s="1035">
        <f t="shared" si="504"/>
        <v>1</v>
      </c>
      <c r="W230" s="1035">
        <f t="shared" si="505"/>
        <v>0.5</v>
      </c>
      <c r="X230" s="1327">
        <f t="shared" si="412"/>
        <v>0.5</v>
      </c>
      <c r="Y230" s="1065">
        <v>0.05</v>
      </c>
      <c r="Z230" s="1065">
        <v>0</v>
      </c>
      <c r="AA230" s="1065">
        <v>0.05</v>
      </c>
      <c r="AB230" s="1065">
        <v>0.05</v>
      </c>
      <c r="AC230" s="1065">
        <v>0.05</v>
      </c>
      <c r="AD230" s="1066">
        <v>0</v>
      </c>
      <c r="AE230" s="1066">
        <v>91350000</v>
      </c>
      <c r="AF230" s="1066">
        <v>30000000</v>
      </c>
      <c r="AG230" s="1066">
        <v>0</v>
      </c>
      <c r="AH230" s="1066">
        <v>0</v>
      </c>
      <c r="AI230" s="1066">
        <f>182700000/2</f>
        <v>91350000</v>
      </c>
      <c r="AJ230" s="1066"/>
      <c r="AK230" s="1066"/>
      <c r="AL230" s="1112" t="e">
        <f t="shared" si="449"/>
        <v>#DIV/0!</v>
      </c>
      <c r="AM230" s="1112">
        <f t="shared" si="449"/>
        <v>1</v>
      </c>
      <c r="AN230" s="1112">
        <f t="shared" si="449"/>
        <v>0</v>
      </c>
      <c r="AO230" s="1112" t="e">
        <f t="shared" si="449"/>
        <v>#DIV/0!</v>
      </c>
      <c r="AP230" s="1070">
        <v>0</v>
      </c>
      <c r="AQ230" s="1068">
        <f>167913719.58/2</f>
        <v>83956859.790000007</v>
      </c>
      <c r="AR230" s="1560"/>
      <c r="AS230" s="1069"/>
      <c r="AT230" s="1140" t="e">
        <f t="shared" si="450"/>
        <v>#DIV/0!</v>
      </c>
      <c r="AU230" s="1140">
        <f t="shared" si="450"/>
        <v>0.91906797799671602</v>
      </c>
      <c r="AV230" s="1140">
        <f t="shared" si="450"/>
        <v>0</v>
      </c>
      <c r="AW230" s="1140" t="e">
        <f t="shared" si="450"/>
        <v>#DIV/0!</v>
      </c>
      <c r="AX230" s="1044">
        <f t="shared" si="506"/>
        <v>0</v>
      </c>
      <c r="AY230" s="1044">
        <f t="shared" si="506"/>
        <v>7393140.2099999934</v>
      </c>
      <c r="AZ230" s="1044">
        <f t="shared" si="506"/>
        <v>0</v>
      </c>
      <c r="BA230" s="1044">
        <f t="shared" si="506"/>
        <v>0</v>
      </c>
      <c r="BB230" s="1070"/>
      <c r="BC230" s="1070"/>
      <c r="BD230" s="1070"/>
      <c r="BE230" s="1070"/>
      <c r="BF230" s="1071" t="e">
        <f t="shared" si="451"/>
        <v>#DIV/0!</v>
      </c>
      <c r="BG230" s="1071">
        <f t="shared" si="451"/>
        <v>0</v>
      </c>
      <c r="BH230" s="1071" t="e">
        <f t="shared" si="451"/>
        <v>#DIV/0!</v>
      </c>
      <c r="BI230" s="1071" t="e">
        <f t="shared" si="451"/>
        <v>#DIV/0!</v>
      </c>
      <c r="BJ230" s="1070">
        <f t="shared" si="491"/>
        <v>121350000</v>
      </c>
      <c r="BK230" s="1072">
        <f t="shared" si="492"/>
        <v>91350000</v>
      </c>
      <c r="BL230" s="1073">
        <f t="shared" si="489"/>
        <v>0.75278121137206433</v>
      </c>
      <c r="BM230" s="1072">
        <f t="shared" si="490"/>
        <v>83956859.790000007</v>
      </c>
      <c r="BN230" s="1074">
        <f t="shared" si="471"/>
        <v>0.69185710580964155</v>
      </c>
      <c r="BO230" s="2106"/>
      <c r="BP230" s="1512" t="s">
        <v>2637</v>
      </c>
      <c r="BQ230" s="1873" t="s">
        <v>2193</v>
      </c>
      <c r="BR230" s="1083" t="s">
        <v>596</v>
      </c>
    </row>
    <row r="231" spans="1:70" ht="12.75" customHeight="1" thickBot="1">
      <c r="A231" s="1881" t="s">
        <v>2723</v>
      </c>
      <c r="B231" s="1796" t="s">
        <v>2724</v>
      </c>
      <c r="C231" s="1907" t="s">
        <v>597</v>
      </c>
      <c r="D231" s="1874">
        <v>0.2</v>
      </c>
      <c r="E231" s="1875">
        <v>0.3</v>
      </c>
      <c r="F231" s="2173">
        <v>0.2</v>
      </c>
      <c r="G231" s="2174">
        <v>0.2</v>
      </c>
      <c r="H231" s="1877">
        <v>6.5000000000000002E-2</v>
      </c>
      <c r="I231" s="1878">
        <v>0.3</v>
      </c>
      <c r="J231" s="1182"/>
      <c r="K231" s="1182"/>
      <c r="L231" s="1189">
        <v>0.13500000000000001</v>
      </c>
      <c r="M231" s="1101"/>
      <c r="N231" s="1101"/>
      <c r="O231" s="1101"/>
      <c r="P231" s="1102">
        <f t="shared" si="507"/>
        <v>1</v>
      </c>
      <c r="Q231" s="1102">
        <f t="shared" si="503"/>
        <v>1</v>
      </c>
      <c r="R231" s="1102">
        <f t="shared" si="503"/>
        <v>0</v>
      </c>
      <c r="S231" s="1102">
        <f t="shared" si="503"/>
        <v>0</v>
      </c>
      <c r="T231" s="1333" t="s">
        <v>2725</v>
      </c>
      <c r="U231" s="1034">
        <v>46022</v>
      </c>
      <c r="V231" s="1035">
        <f t="shared" si="504"/>
        <v>0.89999999999999991</v>
      </c>
      <c r="W231" s="1035">
        <f t="shared" si="505"/>
        <v>0.5</v>
      </c>
      <c r="X231" s="1291">
        <f t="shared" si="412"/>
        <v>0.55555555555555558</v>
      </c>
      <c r="Y231" s="1104">
        <v>0.3</v>
      </c>
      <c r="Z231" s="1104">
        <v>0.3</v>
      </c>
      <c r="AA231" s="1104">
        <v>0.35</v>
      </c>
      <c r="AB231" s="1104">
        <v>0.35</v>
      </c>
      <c r="AC231" s="1104">
        <v>0.35</v>
      </c>
      <c r="AD231" s="1106">
        <f>79800000+(78100511.8043056/2)</f>
        <v>118850255.90215281</v>
      </c>
      <c r="AE231" s="1066">
        <v>91350000</v>
      </c>
      <c r="AF231" s="1066">
        <v>161500000</v>
      </c>
      <c r="AG231" s="1066">
        <v>170000000</v>
      </c>
      <c r="AH231" s="1106">
        <f>73522788+(78100511.7420732/2)</f>
        <v>112573043.87103659</v>
      </c>
      <c r="AI231" s="1066">
        <f>182700000/2</f>
        <v>91350000</v>
      </c>
      <c r="AJ231" s="1066"/>
      <c r="AK231" s="1066"/>
      <c r="AL231" s="1112">
        <f t="shared" si="449"/>
        <v>0.94718385767478597</v>
      </c>
      <c r="AM231" s="1112">
        <f t="shared" si="449"/>
        <v>1</v>
      </c>
      <c r="AN231" s="1112">
        <f t="shared" si="449"/>
        <v>0</v>
      </c>
      <c r="AO231" s="1112">
        <f t="shared" si="449"/>
        <v>0</v>
      </c>
      <c r="AP231" s="1107">
        <f>42145356+(66979801.6609549/2)</f>
        <v>75635256.830477446</v>
      </c>
      <c r="AQ231" s="1068">
        <f>167913719.58/2</f>
        <v>83956859.790000007</v>
      </c>
      <c r="AR231" s="1567"/>
      <c r="AS231" s="1188"/>
      <c r="AT231" s="1189">
        <f t="shared" si="450"/>
        <v>0.6363911987934342</v>
      </c>
      <c r="AU231" s="1189">
        <f t="shared" si="450"/>
        <v>0.91906797799671602</v>
      </c>
      <c r="AV231" s="1189">
        <f t="shared" si="450"/>
        <v>0</v>
      </c>
      <c r="AW231" s="1189">
        <f t="shared" si="450"/>
        <v>0</v>
      </c>
      <c r="AX231" s="1044">
        <f t="shared" si="506"/>
        <v>36937787.040559143</v>
      </c>
      <c r="AY231" s="1044">
        <f t="shared" si="506"/>
        <v>7393140.2099999934</v>
      </c>
      <c r="AZ231" s="1044">
        <f t="shared" si="506"/>
        <v>0</v>
      </c>
      <c r="BA231" s="1044">
        <f t="shared" si="506"/>
        <v>0</v>
      </c>
      <c r="BB231" s="1107"/>
      <c r="BC231" s="1107"/>
      <c r="BD231" s="1107"/>
      <c r="BE231" s="1107"/>
      <c r="BF231" s="1190">
        <f t="shared" si="451"/>
        <v>0</v>
      </c>
      <c r="BG231" s="1190">
        <f t="shared" si="451"/>
        <v>0</v>
      </c>
      <c r="BH231" s="1190" t="e">
        <f t="shared" si="451"/>
        <v>#DIV/0!</v>
      </c>
      <c r="BI231" s="1190" t="e">
        <f t="shared" si="451"/>
        <v>#DIV/0!</v>
      </c>
      <c r="BJ231" s="1107">
        <f t="shared" si="491"/>
        <v>541700255.90215278</v>
      </c>
      <c r="BK231" s="1110">
        <f t="shared" si="492"/>
        <v>203923043.87103659</v>
      </c>
      <c r="BL231" s="1111">
        <f t="shared" si="489"/>
        <v>0.37644996776200745</v>
      </c>
      <c r="BM231" s="1110">
        <f t="shared" si="490"/>
        <v>159592116.62047744</v>
      </c>
      <c r="BN231" s="1112">
        <f t="shared" si="471"/>
        <v>0.29461333067803558</v>
      </c>
      <c r="BO231" s="2106" t="s">
        <v>2653</v>
      </c>
      <c r="BP231" s="1435" t="s">
        <v>2637</v>
      </c>
      <c r="BQ231" s="2117" t="s">
        <v>2193</v>
      </c>
      <c r="BR231" s="1191" t="s">
        <v>596</v>
      </c>
    </row>
    <row r="232" spans="1:70" ht="12.75" customHeight="1">
      <c r="A232" s="2118" t="s">
        <v>2726</v>
      </c>
      <c r="B232" s="2118"/>
      <c r="C232" s="2119"/>
      <c r="D232" s="2119"/>
      <c r="E232" s="2120"/>
      <c r="F232" s="2120"/>
      <c r="G232" s="2120"/>
      <c r="H232" s="2120"/>
      <c r="I232" s="2120"/>
      <c r="J232" s="2120"/>
      <c r="K232" s="2120"/>
      <c r="L232" s="2120"/>
      <c r="M232" s="2120"/>
      <c r="N232" s="2120"/>
      <c r="O232" s="2120"/>
      <c r="P232" s="2121">
        <f>+(P233*Z233)</f>
        <v>1</v>
      </c>
      <c r="Q232" s="2121">
        <f t="shared" ref="Q232:S232" si="508">+(Q233*AA233)</f>
        <v>1</v>
      </c>
      <c r="R232" s="2121">
        <f t="shared" si="508"/>
        <v>0</v>
      </c>
      <c r="S232" s="2121">
        <f t="shared" si="508"/>
        <v>0</v>
      </c>
      <c r="T232" s="2122"/>
      <c r="U232" s="2118"/>
      <c r="V232" s="2123"/>
      <c r="W232" s="2124">
        <f t="shared" si="414"/>
        <v>0</v>
      </c>
      <c r="X232" s="2121">
        <f>+(X233*Y233)</f>
        <v>0.5</v>
      </c>
      <c r="Y232" s="2125">
        <v>0.05</v>
      </c>
      <c r="Z232" s="2125">
        <v>0.05</v>
      </c>
      <c r="AA232" s="2125">
        <v>0.05</v>
      </c>
      <c r="AB232" s="2125">
        <v>0.05</v>
      </c>
      <c r="AC232" s="2125">
        <v>0.05</v>
      </c>
      <c r="AD232" s="2119">
        <f>+AD233</f>
        <v>602381732.84978998</v>
      </c>
      <c r="AE232" s="2119">
        <f>+AE233</f>
        <v>595350000</v>
      </c>
      <c r="AF232" s="2119">
        <f t="shared" ref="AF232:AK232" si="509">+AF233</f>
        <v>733162500</v>
      </c>
      <c r="AG232" s="2119">
        <f t="shared" si="509"/>
        <v>810337500</v>
      </c>
      <c r="AH232" s="2119">
        <f t="shared" si="509"/>
        <v>591694009.74071896</v>
      </c>
      <c r="AI232" s="2119">
        <f t="shared" si="509"/>
        <v>595349998</v>
      </c>
      <c r="AJ232" s="2119">
        <f t="shared" si="509"/>
        <v>0</v>
      </c>
      <c r="AK232" s="2119">
        <f t="shared" si="509"/>
        <v>0</v>
      </c>
      <c r="AL232" s="2126">
        <f t="shared" si="449"/>
        <v>0.98225755774746226</v>
      </c>
      <c r="AM232" s="2126">
        <f t="shared" si="449"/>
        <v>0.99999999664063155</v>
      </c>
      <c r="AN232" s="2126">
        <f t="shared" si="449"/>
        <v>0</v>
      </c>
      <c r="AO232" s="2126">
        <f t="shared" si="449"/>
        <v>0</v>
      </c>
      <c r="AP232" s="2119">
        <f t="shared" ref="AP232:AS232" si="510">+AP233</f>
        <v>565036782.99839807</v>
      </c>
      <c r="AQ232" s="2127">
        <f t="shared" si="510"/>
        <v>578673033.53999996</v>
      </c>
      <c r="AR232" s="2119">
        <f t="shared" si="510"/>
        <v>0</v>
      </c>
      <c r="AS232" s="2119">
        <f t="shared" si="510"/>
        <v>0</v>
      </c>
      <c r="AT232" s="2126">
        <f t="shared" si="450"/>
        <v>0.9380045114005735</v>
      </c>
      <c r="AU232" s="2126">
        <f t="shared" si="450"/>
        <v>0.97198796261022924</v>
      </c>
      <c r="AV232" s="2126">
        <f t="shared" si="450"/>
        <v>0</v>
      </c>
      <c r="AW232" s="2126">
        <f t="shared" si="450"/>
        <v>0</v>
      </c>
      <c r="AX232" s="2119">
        <f t="shared" ref="AX232:BE232" si="511">+AX233</f>
        <v>26657226.742320895</v>
      </c>
      <c r="AY232" s="2119">
        <f t="shared" si="511"/>
        <v>16676964.460000038</v>
      </c>
      <c r="AZ232" s="2119">
        <f t="shared" si="511"/>
        <v>0</v>
      </c>
      <c r="BA232" s="2119">
        <f t="shared" si="511"/>
        <v>0</v>
      </c>
      <c r="BB232" s="2119">
        <f t="shared" si="511"/>
        <v>0</v>
      </c>
      <c r="BC232" s="2119">
        <f t="shared" si="511"/>
        <v>0</v>
      </c>
      <c r="BD232" s="2119">
        <f t="shared" si="511"/>
        <v>0</v>
      </c>
      <c r="BE232" s="2119">
        <f t="shared" si="511"/>
        <v>0</v>
      </c>
      <c r="BF232" s="2125">
        <f t="shared" si="451"/>
        <v>0</v>
      </c>
      <c r="BG232" s="2125">
        <f t="shared" si="451"/>
        <v>0</v>
      </c>
      <c r="BH232" s="2125" t="e">
        <f t="shared" si="451"/>
        <v>#DIV/0!</v>
      </c>
      <c r="BI232" s="2125" t="e">
        <f t="shared" si="451"/>
        <v>#DIV/0!</v>
      </c>
      <c r="BJ232" s="2119">
        <f t="shared" si="491"/>
        <v>2741231732.8497901</v>
      </c>
      <c r="BK232" s="2127">
        <f t="shared" si="492"/>
        <v>1187044007.7407188</v>
      </c>
      <c r="BL232" s="2128">
        <f t="shared" si="489"/>
        <v>0.43303307542944042</v>
      </c>
      <c r="BM232" s="2127">
        <f t="shared" si="490"/>
        <v>1143709816.538398</v>
      </c>
      <c r="BN232" s="2129">
        <f t="shared" si="471"/>
        <v>0.41722478360098181</v>
      </c>
      <c r="BO232" s="2119"/>
      <c r="BP232" s="2130"/>
      <c r="BQ232" s="2130"/>
      <c r="BR232" s="2130"/>
    </row>
    <row r="233" spans="1:70" ht="12.75" customHeight="1" thickBot="1">
      <c r="A233" s="2081" t="s">
        <v>2727</v>
      </c>
      <c r="B233" s="2081"/>
      <c r="C233" s="2082"/>
      <c r="D233" s="2082"/>
      <c r="E233" s="2083"/>
      <c r="F233" s="2083"/>
      <c r="G233" s="2083"/>
      <c r="H233" s="2083"/>
      <c r="I233" s="2083"/>
      <c r="J233" s="2083"/>
      <c r="K233" s="2083"/>
      <c r="L233" s="2083"/>
      <c r="M233" s="2083"/>
      <c r="N233" s="2083"/>
      <c r="O233" s="2083"/>
      <c r="P233" s="2084">
        <f>+SUMPRODUCT(P234:P234,Z234:Z234)</f>
        <v>1</v>
      </c>
      <c r="Q233" s="2084">
        <f t="shared" ref="Q233:S233" si="512">+SUMPRODUCT(Q234:Q234,AA234:AA234)</f>
        <v>1</v>
      </c>
      <c r="R233" s="2084">
        <f t="shared" si="512"/>
        <v>0</v>
      </c>
      <c r="S233" s="2084">
        <f t="shared" si="512"/>
        <v>0</v>
      </c>
      <c r="T233" s="2087"/>
      <c r="U233" s="2081"/>
      <c r="V233" s="2088"/>
      <c r="W233" s="2089">
        <f t="shared" si="414"/>
        <v>0</v>
      </c>
      <c r="X233" s="2084">
        <f>+SUMPRODUCT(X234:X234,Y234:Y234)</f>
        <v>0.5</v>
      </c>
      <c r="Y233" s="2085">
        <v>1</v>
      </c>
      <c r="Z233" s="2085">
        <v>1</v>
      </c>
      <c r="AA233" s="2085">
        <v>1</v>
      </c>
      <c r="AB233" s="2085">
        <v>1</v>
      </c>
      <c r="AC233" s="2085">
        <v>1</v>
      </c>
      <c r="AD233" s="2082">
        <f>SUM(AD234)</f>
        <v>602381732.84978998</v>
      </c>
      <c r="AE233" s="2082">
        <f>SUM(AE234)</f>
        <v>595350000</v>
      </c>
      <c r="AF233" s="2082">
        <f t="shared" ref="AF233:AK233" si="513">SUM(AF234)</f>
        <v>733162500</v>
      </c>
      <c r="AG233" s="2082">
        <f t="shared" si="513"/>
        <v>810337500</v>
      </c>
      <c r="AH233" s="2082">
        <f t="shared" si="513"/>
        <v>591694009.74071896</v>
      </c>
      <c r="AI233" s="2082">
        <f t="shared" si="513"/>
        <v>595349998</v>
      </c>
      <c r="AJ233" s="2082">
        <f t="shared" si="513"/>
        <v>0</v>
      </c>
      <c r="AK233" s="2082">
        <f t="shared" si="513"/>
        <v>0</v>
      </c>
      <c r="AL233" s="2090">
        <f t="shared" si="449"/>
        <v>0.98225755774746226</v>
      </c>
      <c r="AM233" s="2090">
        <f t="shared" si="449"/>
        <v>0.99999999664063155</v>
      </c>
      <c r="AN233" s="2090">
        <f t="shared" si="449"/>
        <v>0</v>
      </c>
      <c r="AO233" s="2090">
        <f t="shared" si="449"/>
        <v>0</v>
      </c>
      <c r="AP233" s="2082">
        <f t="shared" ref="AP233:AS233" si="514">SUM(AP234)</f>
        <v>565036782.99839807</v>
      </c>
      <c r="AQ233" s="2091">
        <f t="shared" si="514"/>
        <v>578673033.53999996</v>
      </c>
      <c r="AR233" s="2082">
        <f t="shared" si="514"/>
        <v>0</v>
      </c>
      <c r="AS233" s="2082">
        <f t="shared" si="514"/>
        <v>0</v>
      </c>
      <c r="AT233" s="2090">
        <f t="shared" si="450"/>
        <v>0.9380045114005735</v>
      </c>
      <c r="AU233" s="2090">
        <f t="shared" si="450"/>
        <v>0.97198796261022924</v>
      </c>
      <c r="AV233" s="2090">
        <f t="shared" si="450"/>
        <v>0</v>
      </c>
      <c r="AW233" s="2090">
        <f t="shared" si="450"/>
        <v>0</v>
      </c>
      <c r="AX233" s="2082">
        <f t="shared" ref="AX233:BE233" si="515">SUM(AX234)</f>
        <v>26657226.742320895</v>
      </c>
      <c r="AY233" s="2082">
        <f t="shared" si="515"/>
        <v>16676964.460000038</v>
      </c>
      <c r="AZ233" s="2082">
        <f t="shared" si="515"/>
        <v>0</v>
      </c>
      <c r="BA233" s="2082">
        <f t="shared" si="515"/>
        <v>0</v>
      </c>
      <c r="BB233" s="2082">
        <f t="shared" si="515"/>
        <v>0</v>
      </c>
      <c r="BC233" s="2082">
        <f t="shared" si="515"/>
        <v>0</v>
      </c>
      <c r="BD233" s="2082">
        <f t="shared" si="515"/>
        <v>0</v>
      </c>
      <c r="BE233" s="2082">
        <f t="shared" si="515"/>
        <v>0</v>
      </c>
      <c r="BF233" s="2085">
        <f t="shared" si="451"/>
        <v>0</v>
      </c>
      <c r="BG233" s="2085">
        <f t="shared" si="451"/>
        <v>0</v>
      </c>
      <c r="BH233" s="2085" t="e">
        <f t="shared" si="451"/>
        <v>#DIV/0!</v>
      </c>
      <c r="BI233" s="2085" t="e">
        <f t="shared" si="451"/>
        <v>#DIV/0!</v>
      </c>
      <c r="BJ233" s="2082">
        <f t="shared" si="491"/>
        <v>2741231732.8497901</v>
      </c>
      <c r="BK233" s="2091">
        <f t="shared" si="492"/>
        <v>1187044007.7407188</v>
      </c>
      <c r="BL233" s="2092">
        <f t="shared" si="489"/>
        <v>0.43303307542944042</v>
      </c>
      <c r="BM233" s="2091">
        <f t="shared" si="490"/>
        <v>1143709816.538398</v>
      </c>
      <c r="BN233" s="2093">
        <f t="shared" si="471"/>
        <v>0.41722478360098181</v>
      </c>
      <c r="BO233" s="2082"/>
      <c r="BP233" s="2094"/>
      <c r="BQ233" s="2094"/>
      <c r="BR233" s="2094"/>
    </row>
    <row r="234" spans="1:70" ht="12.75" customHeight="1" thickBot="1">
      <c r="A234" s="1845" t="s">
        <v>2728</v>
      </c>
      <c r="B234" s="1821" t="s">
        <v>2729</v>
      </c>
      <c r="C234" s="1454" t="s">
        <v>2181</v>
      </c>
      <c r="D234" s="2175">
        <v>5</v>
      </c>
      <c r="E234" s="2176">
        <v>5</v>
      </c>
      <c r="F234" s="2176">
        <v>5</v>
      </c>
      <c r="G234" s="2177">
        <v>5</v>
      </c>
      <c r="H234" s="1693">
        <v>5</v>
      </c>
      <c r="I234" s="1236">
        <v>5</v>
      </c>
      <c r="J234" s="1236"/>
      <c r="K234" s="1236"/>
      <c r="L234" s="1236"/>
      <c r="M234" s="1237"/>
      <c r="N234" s="1237"/>
      <c r="O234" s="1237"/>
      <c r="P234" s="1238">
        <f t="shared" ref="P234:S234" si="516">IF((H234+L234)/D234&gt;=100%,100%,(H234+L234)/D234)</f>
        <v>1</v>
      </c>
      <c r="Q234" s="1238">
        <f t="shared" si="516"/>
        <v>1</v>
      </c>
      <c r="R234" s="1238">
        <f t="shared" si="516"/>
        <v>0</v>
      </c>
      <c r="S234" s="1238">
        <f t="shared" si="516"/>
        <v>0</v>
      </c>
      <c r="T234" s="1826" t="s">
        <v>2730</v>
      </c>
      <c r="U234" s="1034">
        <v>46022</v>
      </c>
      <c r="V234" s="1035">
        <f>SUM(D234:G234)</f>
        <v>20</v>
      </c>
      <c r="W234" s="1035">
        <f>SUM(H234:N234)</f>
        <v>10</v>
      </c>
      <c r="X234" s="1700">
        <f t="shared" si="412"/>
        <v>0.5</v>
      </c>
      <c r="Y234" s="1241">
        <v>1</v>
      </c>
      <c r="Z234" s="1241">
        <v>1</v>
      </c>
      <c r="AA234" s="1241">
        <v>1</v>
      </c>
      <c r="AB234" s="1241">
        <v>1</v>
      </c>
      <c r="AC234" s="1241">
        <v>1</v>
      </c>
      <c r="AD234" s="1244">
        <f>465500000+136881732.84979</f>
        <v>602381732.84978998</v>
      </c>
      <c r="AE234" s="1244">
        <v>595350000</v>
      </c>
      <c r="AF234" s="1244">
        <v>733162500</v>
      </c>
      <c r="AG234" s="1244">
        <v>810337500</v>
      </c>
      <c r="AH234" s="1244">
        <f>454812277+136881732.740719</f>
        <v>591694009.74071896</v>
      </c>
      <c r="AI234" s="1244">
        <v>595349998</v>
      </c>
      <c r="AJ234" s="1244"/>
      <c r="AK234" s="1244"/>
      <c r="AL234" s="1245">
        <f t="shared" si="449"/>
        <v>0.98225755774746226</v>
      </c>
      <c r="AM234" s="1245">
        <f t="shared" si="449"/>
        <v>0.99999999664063155</v>
      </c>
      <c r="AN234" s="1245">
        <f t="shared" si="449"/>
        <v>0</v>
      </c>
      <c r="AO234" s="1245">
        <f t="shared" si="449"/>
        <v>0</v>
      </c>
      <c r="AP234" s="1246">
        <f>447645602+117391180.998398</f>
        <v>565036782.99839807</v>
      </c>
      <c r="AQ234" s="1247">
        <v>578673033.53999996</v>
      </c>
      <c r="AR234" s="1568"/>
      <c r="AS234" s="1248"/>
      <c r="AT234" s="1249">
        <f t="shared" si="450"/>
        <v>0.9380045114005735</v>
      </c>
      <c r="AU234" s="1249">
        <f t="shared" si="450"/>
        <v>0.97198796261022924</v>
      </c>
      <c r="AV234" s="1249">
        <f t="shared" si="450"/>
        <v>0</v>
      </c>
      <c r="AW234" s="1249">
        <f t="shared" si="450"/>
        <v>0</v>
      </c>
      <c r="AX234" s="1044">
        <f t="shared" ref="AX234:BA234" si="517">+AH234-AP234</f>
        <v>26657226.742320895</v>
      </c>
      <c r="AY234" s="1044">
        <f t="shared" si="517"/>
        <v>16676964.460000038</v>
      </c>
      <c r="AZ234" s="1044">
        <f t="shared" si="517"/>
        <v>0</v>
      </c>
      <c r="BA234" s="1044">
        <f t="shared" si="517"/>
        <v>0</v>
      </c>
      <c r="BB234" s="1250"/>
      <c r="BC234" s="1250"/>
      <c r="BD234" s="1250"/>
      <c r="BE234" s="1250"/>
      <c r="BF234" s="1251">
        <f t="shared" si="451"/>
        <v>0</v>
      </c>
      <c r="BG234" s="1251">
        <f t="shared" si="451"/>
        <v>0</v>
      </c>
      <c r="BH234" s="1251" t="e">
        <f t="shared" si="451"/>
        <v>#DIV/0!</v>
      </c>
      <c r="BI234" s="1251" t="e">
        <f t="shared" si="451"/>
        <v>#DIV/0!</v>
      </c>
      <c r="BJ234" s="1250">
        <f t="shared" si="491"/>
        <v>2741231732.8497901</v>
      </c>
      <c r="BK234" s="1252">
        <f t="shared" si="492"/>
        <v>1187044007.7407188</v>
      </c>
      <c r="BL234" s="1253">
        <f t="shared" si="489"/>
        <v>0.43303307542944042</v>
      </c>
      <c r="BM234" s="1252">
        <f t="shared" si="490"/>
        <v>1143709816.538398</v>
      </c>
      <c r="BN234" s="1254">
        <f t="shared" si="471"/>
        <v>0.41722478360098181</v>
      </c>
      <c r="BO234" s="2106" t="s">
        <v>2653</v>
      </c>
      <c r="BP234" s="2178" t="s">
        <v>596</v>
      </c>
      <c r="BQ234" s="2178" t="s">
        <v>2193</v>
      </c>
      <c r="BR234" s="1256" t="s">
        <v>596</v>
      </c>
    </row>
    <row r="235" spans="1:70" ht="12.75" customHeight="1">
      <c r="A235" s="2118" t="s">
        <v>2731</v>
      </c>
      <c r="B235" s="2118"/>
      <c r="C235" s="2119"/>
      <c r="D235" s="2119"/>
      <c r="E235" s="2120"/>
      <c r="F235" s="2120"/>
      <c r="G235" s="2120"/>
      <c r="H235" s="2120"/>
      <c r="I235" s="2120"/>
      <c r="J235" s="2120"/>
      <c r="K235" s="2120"/>
      <c r="L235" s="2120"/>
      <c r="M235" s="2120"/>
      <c r="N235" s="2120"/>
      <c r="O235" s="2120"/>
      <c r="P235" s="2121">
        <f>+(P236*Z236)</f>
        <v>1</v>
      </c>
      <c r="Q235" s="2121">
        <f t="shared" ref="Q235:S235" si="518">+(Q236*AA236)</f>
        <v>1</v>
      </c>
      <c r="R235" s="2121">
        <f t="shared" si="518"/>
        <v>0</v>
      </c>
      <c r="S235" s="2121">
        <f t="shared" si="518"/>
        <v>0</v>
      </c>
      <c r="T235" s="2122"/>
      <c r="U235" s="2118"/>
      <c r="V235" s="2123"/>
      <c r="W235" s="2124">
        <f t="shared" si="414"/>
        <v>0</v>
      </c>
      <c r="X235" s="2121">
        <f>+(X236*Y236)</f>
        <v>0.75</v>
      </c>
      <c r="Y235" s="2125">
        <v>0.05</v>
      </c>
      <c r="Z235" s="2125">
        <v>0.05</v>
      </c>
      <c r="AA235" s="2125">
        <v>0.05</v>
      </c>
      <c r="AB235" s="2125">
        <v>0.05</v>
      </c>
      <c r="AC235" s="2125">
        <v>0.05</v>
      </c>
      <c r="AD235" s="2119">
        <f>+AD236</f>
        <v>260428192.77340549</v>
      </c>
      <c r="AE235" s="2119">
        <f>+AE236</f>
        <v>259875000</v>
      </c>
      <c r="AF235" s="2119">
        <f t="shared" ref="AF235:AK235" si="519">+AF236</f>
        <v>316968750</v>
      </c>
      <c r="AG235" s="2119">
        <f t="shared" si="519"/>
        <v>347287500</v>
      </c>
      <c r="AH235" s="2119">
        <f t="shared" si="519"/>
        <v>260428192.72625089</v>
      </c>
      <c r="AI235" s="2119">
        <f t="shared" si="519"/>
        <v>250475000</v>
      </c>
      <c r="AJ235" s="2119">
        <f t="shared" si="519"/>
        <v>0</v>
      </c>
      <c r="AK235" s="2119">
        <f t="shared" si="519"/>
        <v>0</v>
      </c>
      <c r="AL235" s="2126">
        <f t="shared" si="449"/>
        <v>0.99999999981893428</v>
      </c>
      <c r="AM235" s="2126">
        <f t="shared" si="449"/>
        <v>0.96382876382876381</v>
      </c>
      <c r="AN235" s="2126">
        <f t="shared" si="449"/>
        <v>0</v>
      </c>
      <c r="AO235" s="2126">
        <f t="shared" si="449"/>
        <v>0</v>
      </c>
      <c r="AP235" s="2119">
        <f t="shared" ref="AP235:AS235" si="520">+AP236</f>
        <v>248801826.37148792</v>
      </c>
      <c r="AQ235" s="2127">
        <f t="shared" si="520"/>
        <v>245389637.65000001</v>
      </c>
      <c r="AR235" s="2119">
        <f t="shared" si="520"/>
        <v>0</v>
      </c>
      <c r="AS235" s="2119">
        <f t="shared" si="520"/>
        <v>0</v>
      </c>
      <c r="AT235" s="2126">
        <f t="shared" si="450"/>
        <v>0.95535672893896895</v>
      </c>
      <c r="AU235" s="2126">
        <f t="shared" si="450"/>
        <v>0.94426026993746992</v>
      </c>
      <c r="AV235" s="2126">
        <f t="shared" si="450"/>
        <v>0</v>
      </c>
      <c r="AW235" s="2126">
        <f t="shared" si="450"/>
        <v>0</v>
      </c>
      <c r="AX235" s="2119">
        <f t="shared" ref="AX235:BE235" si="521">+AX236</f>
        <v>11626366.354763001</v>
      </c>
      <c r="AY235" s="2119">
        <f t="shared" si="521"/>
        <v>5085362.3500000089</v>
      </c>
      <c r="AZ235" s="2119">
        <f t="shared" si="521"/>
        <v>0</v>
      </c>
      <c r="BA235" s="2119">
        <f t="shared" si="521"/>
        <v>0</v>
      </c>
      <c r="BB235" s="2119">
        <f t="shared" si="521"/>
        <v>0</v>
      </c>
      <c r="BC235" s="2119">
        <f t="shared" si="521"/>
        <v>0</v>
      </c>
      <c r="BD235" s="2119">
        <f t="shared" si="521"/>
        <v>0</v>
      </c>
      <c r="BE235" s="2119">
        <f t="shared" si="521"/>
        <v>0</v>
      </c>
      <c r="BF235" s="2125">
        <f t="shared" si="451"/>
        <v>0</v>
      </c>
      <c r="BG235" s="2125">
        <f t="shared" si="451"/>
        <v>0</v>
      </c>
      <c r="BH235" s="2125" t="e">
        <f t="shared" si="451"/>
        <v>#DIV/0!</v>
      </c>
      <c r="BI235" s="2125" t="e">
        <f t="shared" si="451"/>
        <v>#DIV/0!</v>
      </c>
      <c r="BJ235" s="2119">
        <f t="shared" si="491"/>
        <v>1184559442.7734056</v>
      </c>
      <c r="BK235" s="2127">
        <f t="shared" si="492"/>
        <v>510903192.72625089</v>
      </c>
      <c r="BL235" s="2128">
        <f t="shared" si="489"/>
        <v>0.4313022835984277</v>
      </c>
      <c r="BM235" s="2127">
        <f t="shared" si="490"/>
        <v>494191464.02148795</v>
      </c>
      <c r="BN235" s="2129">
        <f t="shared" si="471"/>
        <v>0.41719431391677475</v>
      </c>
      <c r="BO235" s="2119"/>
      <c r="BP235" s="2179"/>
      <c r="BQ235" s="2130"/>
      <c r="BR235" s="2130"/>
    </row>
    <row r="236" spans="1:70" ht="12.75" customHeight="1" thickBot="1">
      <c r="A236" s="2081" t="s">
        <v>2732</v>
      </c>
      <c r="B236" s="2081"/>
      <c r="C236" s="2082"/>
      <c r="D236" s="2082"/>
      <c r="E236" s="2083"/>
      <c r="F236" s="2083"/>
      <c r="G236" s="2083"/>
      <c r="H236" s="2083"/>
      <c r="I236" s="2083"/>
      <c r="J236" s="2083"/>
      <c r="K236" s="2083"/>
      <c r="L236" s="2083"/>
      <c r="M236" s="2083"/>
      <c r="N236" s="2083"/>
      <c r="O236" s="2083"/>
      <c r="P236" s="2084">
        <f>+SUMPRODUCT(P237:P239,Z237:Z239)</f>
        <v>1</v>
      </c>
      <c r="Q236" s="2084">
        <f t="shared" ref="Q236:S236" si="522">+SUMPRODUCT(Q237:Q239,AA237:AA239)</f>
        <v>1</v>
      </c>
      <c r="R236" s="2084">
        <f t="shared" si="522"/>
        <v>0</v>
      </c>
      <c r="S236" s="2084">
        <f t="shared" si="522"/>
        <v>0</v>
      </c>
      <c r="T236" s="2087"/>
      <c r="U236" s="2081"/>
      <c r="V236" s="2088"/>
      <c r="W236" s="2089">
        <f t="shared" si="414"/>
        <v>0</v>
      </c>
      <c r="X236" s="2084">
        <f>+SUMPRODUCT(X237:X239,Y237:Y239)</f>
        <v>0.75</v>
      </c>
      <c r="Y236" s="2085">
        <v>1</v>
      </c>
      <c r="Z236" s="2085">
        <v>1</v>
      </c>
      <c r="AA236" s="2085">
        <v>1</v>
      </c>
      <c r="AB236" s="2085">
        <v>1</v>
      </c>
      <c r="AC236" s="2085">
        <v>1</v>
      </c>
      <c r="AD236" s="2082">
        <f>SUM(AD237:AD239)</f>
        <v>260428192.77340549</v>
      </c>
      <c r="AE236" s="2082">
        <f>SUM(AE237:AE239)</f>
        <v>259875000</v>
      </c>
      <c r="AF236" s="2082">
        <f t="shared" ref="AF236:AK236" si="523">SUM(AF237:AF239)</f>
        <v>316968750</v>
      </c>
      <c r="AG236" s="2082">
        <f t="shared" si="523"/>
        <v>347287500</v>
      </c>
      <c r="AH236" s="2082">
        <f t="shared" si="523"/>
        <v>260428192.72625089</v>
      </c>
      <c r="AI236" s="2082">
        <f t="shared" si="523"/>
        <v>250475000</v>
      </c>
      <c r="AJ236" s="2082">
        <f t="shared" si="523"/>
        <v>0</v>
      </c>
      <c r="AK236" s="2082">
        <f t="shared" si="523"/>
        <v>0</v>
      </c>
      <c r="AL236" s="2090">
        <f t="shared" si="449"/>
        <v>0.99999999981893428</v>
      </c>
      <c r="AM236" s="2090">
        <f t="shared" si="449"/>
        <v>0.96382876382876381</v>
      </c>
      <c r="AN236" s="2090">
        <f t="shared" si="449"/>
        <v>0</v>
      </c>
      <c r="AO236" s="2090">
        <f t="shared" si="449"/>
        <v>0</v>
      </c>
      <c r="AP236" s="2082">
        <f t="shared" ref="AP236:AS236" si="524">SUM(AP237:AP239)</f>
        <v>248801826.37148792</v>
      </c>
      <c r="AQ236" s="2091">
        <f t="shared" si="524"/>
        <v>245389637.65000001</v>
      </c>
      <c r="AR236" s="2082">
        <f t="shared" si="524"/>
        <v>0</v>
      </c>
      <c r="AS236" s="2082">
        <f t="shared" si="524"/>
        <v>0</v>
      </c>
      <c r="AT236" s="2090">
        <f t="shared" si="450"/>
        <v>0.95535672893896895</v>
      </c>
      <c r="AU236" s="2090">
        <f t="shared" si="450"/>
        <v>0.94426026993746992</v>
      </c>
      <c r="AV236" s="2090">
        <f t="shared" si="450"/>
        <v>0</v>
      </c>
      <c r="AW236" s="2090">
        <f t="shared" si="450"/>
        <v>0</v>
      </c>
      <c r="AX236" s="2082">
        <f t="shared" ref="AX236:BE236" si="525">SUM(AX237:AX239)</f>
        <v>11626366.354763001</v>
      </c>
      <c r="AY236" s="2082">
        <f t="shared" si="525"/>
        <v>5085362.3500000089</v>
      </c>
      <c r="AZ236" s="2082">
        <f t="shared" si="525"/>
        <v>0</v>
      </c>
      <c r="BA236" s="2082">
        <f t="shared" si="525"/>
        <v>0</v>
      </c>
      <c r="BB236" s="2082">
        <f t="shared" si="525"/>
        <v>0</v>
      </c>
      <c r="BC236" s="2082">
        <f t="shared" si="525"/>
        <v>0</v>
      </c>
      <c r="BD236" s="2082">
        <f t="shared" si="525"/>
        <v>0</v>
      </c>
      <c r="BE236" s="2082">
        <f t="shared" si="525"/>
        <v>0</v>
      </c>
      <c r="BF236" s="2085">
        <f t="shared" si="451"/>
        <v>0</v>
      </c>
      <c r="BG236" s="2085">
        <f t="shared" si="451"/>
        <v>0</v>
      </c>
      <c r="BH236" s="2085" t="e">
        <f t="shared" si="451"/>
        <v>#DIV/0!</v>
      </c>
      <c r="BI236" s="2085" t="e">
        <f t="shared" si="451"/>
        <v>#DIV/0!</v>
      </c>
      <c r="BJ236" s="2082">
        <f t="shared" si="491"/>
        <v>1184559442.7734056</v>
      </c>
      <c r="BK236" s="2091">
        <f t="shared" si="492"/>
        <v>510903192.72625089</v>
      </c>
      <c r="BL236" s="2092">
        <f t="shared" si="489"/>
        <v>0.4313022835984277</v>
      </c>
      <c r="BM236" s="2091">
        <f t="shared" si="490"/>
        <v>494191464.02148795</v>
      </c>
      <c r="BN236" s="2093">
        <f t="shared" si="471"/>
        <v>0.41719431391677475</v>
      </c>
      <c r="BO236" s="2082"/>
      <c r="BP236" s="2180"/>
      <c r="BQ236" s="2094"/>
      <c r="BR236" s="2094"/>
    </row>
    <row r="237" spans="1:70" ht="12.75" customHeight="1" thickBot="1">
      <c r="A237" s="1788" t="s">
        <v>2733</v>
      </c>
      <c r="B237" s="1789" t="s">
        <v>2734</v>
      </c>
      <c r="C237" s="1025" t="s">
        <v>2181</v>
      </c>
      <c r="D237" s="2181">
        <v>1</v>
      </c>
      <c r="E237" s="1854">
        <v>1</v>
      </c>
      <c r="F237" s="1854">
        <v>1</v>
      </c>
      <c r="G237" s="1855">
        <v>1</v>
      </c>
      <c r="H237" s="1627">
        <v>6</v>
      </c>
      <c r="I237" s="1030">
        <v>3</v>
      </c>
      <c r="J237" s="1030"/>
      <c r="K237" s="1030"/>
      <c r="L237" s="1030"/>
      <c r="M237" s="1031"/>
      <c r="N237" s="1031"/>
      <c r="O237" s="1031"/>
      <c r="P237" s="1032">
        <f t="shared" ref="P237:S239" si="526">IF((H237+L237)/D237&gt;=100%,100%,(H237+L237)/D237)</f>
        <v>1</v>
      </c>
      <c r="Q237" s="1032">
        <f t="shared" si="526"/>
        <v>1</v>
      </c>
      <c r="R237" s="1032">
        <f t="shared" si="526"/>
        <v>0</v>
      </c>
      <c r="S237" s="1032">
        <f t="shared" si="526"/>
        <v>0</v>
      </c>
      <c r="T237" s="1702" t="s">
        <v>2735</v>
      </c>
      <c r="U237" s="1034">
        <v>46022</v>
      </c>
      <c r="V237" s="1035">
        <f t="shared" ref="V237:V239" si="527">SUM(D237:G237)</f>
        <v>4</v>
      </c>
      <c r="W237" s="1035">
        <f t="shared" ref="W237:W239" si="528">SUM(H237:N237)</f>
        <v>9</v>
      </c>
      <c r="X237" s="1279">
        <f t="shared" si="412"/>
        <v>1</v>
      </c>
      <c r="Y237" s="1037">
        <v>0.5</v>
      </c>
      <c r="Z237" s="1037">
        <v>0.5</v>
      </c>
      <c r="AA237" s="1037">
        <v>0.5</v>
      </c>
      <c r="AB237" s="1037">
        <v>0.5</v>
      </c>
      <c r="AC237" s="1037">
        <v>0.5</v>
      </c>
      <c r="AD237" s="1137">
        <v>99750000</v>
      </c>
      <c r="AE237" s="1137">
        <v>127575000</v>
      </c>
      <c r="AF237" s="1137">
        <v>157106250</v>
      </c>
      <c r="AG237" s="1137">
        <v>173643750</v>
      </c>
      <c r="AH237" s="1137">
        <v>99750000</v>
      </c>
      <c r="AI237" s="1137">
        <v>118175000</v>
      </c>
      <c r="AJ237" s="1137"/>
      <c r="AK237" s="1137"/>
      <c r="AL237" s="1039">
        <f t="shared" si="449"/>
        <v>1</v>
      </c>
      <c r="AM237" s="1039">
        <f t="shared" si="449"/>
        <v>0.92631785224377816</v>
      </c>
      <c r="AN237" s="1039">
        <f t="shared" si="449"/>
        <v>0</v>
      </c>
      <c r="AO237" s="1039">
        <f t="shared" si="449"/>
        <v>0</v>
      </c>
      <c r="AP237" s="1138">
        <v>99750000</v>
      </c>
      <c r="AQ237" s="1041">
        <v>116215872.86</v>
      </c>
      <c r="AR237" s="1552"/>
      <c r="AS237" s="1042"/>
      <c r="AT237" s="1043">
        <f t="shared" si="450"/>
        <v>1</v>
      </c>
      <c r="AU237" s="1043">
        <f t="shared" si="450"/>
        <v>0.91096118252008618</v>
      </c>
      <c r="AV237" s="1043">
        <f t="shared" si="450"/>
        <v>0</v>
      </c>
      <c r="AW237" s="1043">
        <f t="shared" si="450"/>
        <v>0</v>
      </c>
      <c r="AX237" s="1044">
        <f t="shared" ref="AX237:BA239" si="529">+AH237-AP237</f>
        <v>0</v>
      </c>
      <c r="AY237" s="1044">
        <f t="shared" si="529"/>
        <v>1959127.1400000006</v>
      </c>
      <c r="AZ237" s="1044">
        <f t="shared" si="529"/>
        <v>0</v>
      </c>
      <c r="BA237" s="1044">
        <f t="shared" si="529"/>
        <v>0</v>
      </c>
      <c r="BB237" s="1283"/>
      <c r="BC237" s="1283"/>
      <c r="BD237" s="1283"/>
      <c r="BE237" s="1283"/>
      <c r="BF237" s="1045" t="e">
        <f t="shared" si="451"/>
        <v>#DIV/0!</v>
      </c>
      <c r="BG237" s="1045">
        <f t="shared" si="451"/>
        <v>0</v>
      </c>
      <c r="BH237" s="1045" t="e">
        <f t="shared" si="451"/>
        <v>#DIV/0!</v>
      </c>
      <c r="BI237" s="1045" t="e">
        <f t="shared" si="451"/>
        <v>#DIV/0!</v>
      </c>
      <c r="BJ237" s="1283">
        <f t="shared" si="491"/>
        <v>558075000</v>
      </c>
      <c r="BK237" s="1046">
        <f t="shared" si="492"/>
        <v>217925000</v>
      </c>
      <c r="BL237" s="1047">
        <f t="shared" si="489"/>
        <v>0.39049410921471128</v>
      </c>
      <c r="BM237" s="1046">
        <f t="shared" si="490"/>
        <v>215965872.86000001</v>
      </c>
      <c r="BN237" s="1048">
        <f t="shared" si="471"/>
        <v>0.38698360051964342</v>
      </c>
      <c r="BO237" s="1049"/>
      <c r="BP237" s="2182" t="s">
        <v>596</v>
      </c>
      <c r="BQ237" s="2182" t="s">
        <v>2193</v>
      </c>
      <c r="BR237" s="1146" t="s">
        <v>596</v>
      </c>
    </row>
    <row r="238" spans="1:70" ht="12.75" customHeight="1" thickBot="1">
      <c r="A238" s="2183" t="s">
        <v>2736</v>
      </c>
      <c r="B238" s="2184" t="s">
        <v>2737</v>
      </c>
      <c r="C238" s="1554" t="s">
        <v>597</v>
      </c>
      <c r="D238" s="2185">
        <v>1</v>
      </c>
      <c r="E238" s="2186">
        <v>1</v>
      </c>
      <c r="F238" s="2186">
        <v>1</v>
      </c>
      <c r="G238" s="2187">
        <v>1</v>
      </c>
      <c r="H238" s="1893">
        <v>1</v>
      </c>
      <c r="I238" s="1514">
        <v>1</v>
      </c>
      <c r="J238" s="1060"/>
      <c r="K238" s="1060"/>
      <c r="L238" s="1060"/>
      <c r="M238" s="1061"/>
      <c r="N238" s="1061"/>
      <c r="O238" s="1061"/>
      <c r="P238" s="1062">
        <f t="shared" si="526"/>
        <v>1</v>
      </c>
      <c r="Q238" s="1062">
        <f t="shared" si="526"/>
        <v>1</v>
      </c>
      <c r="R238" s="1062">
        <f t="shared" si="526"/>
        <v>0</v>
      </c>
      <c r="S238" s="1062">
        <f t="shared" si="526"/>
        <v>0</v>
      </c>
      <c r="T238" s="1669" t="s">
        <v>2738</v>
      </c>
      <c r="U238" s="1034">
        <v>46022</v>
      </c>
      <c r="V238" s="1035">
        <f t="shared" si="527"/>
        <v>4</v>
      </c>
      <c r="W238" s="1035">
        <f t="shared" si="528"/>
        <v>2</v>
      </c>
      <c r="X238" s="1327">
        <f t="shared" si="412"/>
        <v>0.5</v>
      </c>
      <c r="Y238" s="1065">
        <v>0.35</v>
      </c>
      <c r="Z238" s="1065">
        <v>0.35</v>
      </c>
      <c r="AA238" s="1065">
        <v>0.35</v>
      </c>
      <c r="AB238" s="1065">
        <v>0.35</v>
      </c>
      <c r="AC238" s="1065">
        <v>0.35</v>
      </c>
      <c r="AD238" s="1066">
        <f>66500000+59178192.7734055</f>
        <v>125678192.77340549</v>
      </c>
      <c r="AE238" s="1066">
        <v>85050000</v>
      </c>
      <c r="AF238" s="1066">
        <v>104737500</v>
      </c>
      <c r="AG238" s="1066">
        <v>115762500</v>
      </c>
      <c r="AH238" s="1066">
        <f>66500000+59178192.7262509</f>
        <v>125678192.7262509</v>
      </c>
      <c r="AI238" s="1066">
        <v>85050000</v>
      </c>
      <c r="AJ238" s="1066"/>
      <c r="AK238" s="1066"/>
      <c r="AL238" s="1173">
        <f t="shared" si="449"/>
        <v>0.99999999962479891</v>
      </c>
      <c r="AM238" s="1173">
        <f t="shared" si="449"/>
        <v>1</v>
      </c>
      <c r="AN238" s="1173">
        <f t="shared" si="449"/>
        <v>0</v>
      </c>
      <c r="AO238" s="1173">
        <f t="shared" si="449"/>
        <v>0</v>
      </c>
      <c r="AP238" s="1087">
        <f>64418881+50751826.3714879</f>
        <v>115170707.3714879</v>
      </c>
      <c r="AQ238" s="1068">
        <v>83775973.879999995</v>
      </c>
      <c r="AR238" s="1560"/>
      <c r="AS238" s="1069"/>
      <c r="AT238" s="1140">
        <f t="shared" si="450"/>
        <v>0.9163937261505477</v>
      </c>
      <c r="AU238" s="1140">
        <f t="shared" si="450"/>
        <v>0.98502026901822448</v>
      </c>
      <c r="AV238" s="1140">
        <f t="shared" si="450"/>
        <v>0</v>
      </c>
      <c r="AW238" s="1140">
        <f t="shared" si="450"/>
        <v>0</v>
      </c>
      <c r="AX238" s="1044">
        <f t="shared" si="529"/>
        <v>10507485.354763001</v>
      </c>
      <c r="AY238" s="1044">
        <f t="shared" si="529"/>
        <v>1274026.1200000048</v>
      </c>
      <c r="AZ238" s="1044">
        <f t="shared" si="529"/>
        <v>0</v>
      </c>
      <c r="BA238" s="1044">
        <f t="shared" si="529"/>
        <v>0</v>
      </c>
      <c r="BB238" s="1070"/>
      <c r="BC238" s="1070"/>
      <c r="BD238" s="1070"/>
      <c r="BE238" s="1070"/>
      <c r="BF238" s="1071">
        <f t="shared" si="451"/>
        <v>0</v>
      </c>
      <c r="BG238" s="1071">
        <f t="shared" si="451"/>
        <v>0</v>
      </c>
      <c r="BH238" s="1071" t="e">
        <f t="shared" si="451"/>
        <v>#DIV/0!</v>
      </c>
      <c r="BI238" s="1071" t="e">
        <f t="shared" si="451"/>
        <v>#DIV/0!</v>
      </c>
      <c r="BJ238" s="1070">
        <f t="shared" si="491"/>
        <v>431228192.77340549</v>
      </c>
      <c r="BK238" s="1072">
        <f t="shared" si="492"/>
        <v>210728192.72625089</v>
      </c>
      <c r="BL238" s="1073">
        <f t="shared" si="489"/>
        <v>0.48866979538367239</v>
      </c>
      <c r="BM238" s="1072">
        <f t="shared" si="490"/>
        <v>198946681.25148791</v>
      </c>
      <c r="BN238" s="1074">
        <f t="shared" si="471"/>
        <v>0.46134896694017186</v>
      </c>
      <c r="BO238" s="2106" t="s">
        <v>2653</v>
      </c>
      <c r="BP238" s="2188" t="s">
        <v>596</v>
      </c>
      <c r="BQ238" s="2188" t="s">
        <v>2193</v>
      </c>
      <c r="BR238" s="1083" t="s">
        <v>596</v>
      </c>
    </row>
    <row r="239" spans="1:70" ht="12.75" customHeight="1" thickBot="1">
      <c r="A239" s="2189" t="s">
        <v>2739</v>
      </c>
      <c r="B239" s="1857" t="s">
        <v>2740</v>
      </c>
      <c r="C239" s="1907" t="s">
        <v>597</v>
      </c>
      <c r="D239" s="2190">
        <v>1</v>
      </c>
      <c r="E239" s="2191">
        <v>1</v>
      </c>
      <c r="F239" s="2191">
        <v>1</v>
      </c>
      <c r="G239" s="2192">
        <v>1</v>
      </c>
      <c r="H239" s="1877">
        <v>1</v>
      </c>
      <c r="I239" s="1878">
        <v>1</v>
      </c>
      <c r="J239" s="1182"/>
      <c r="K239" s="1182"/>
      <c r="L239" s="1182"/>
      <c r="M239" s="1101"/>
      <c r="N239" s="1101"/>
      <c r="O239" s="1101"/>
      <c r="P239" s="1102">
        <f t="shared" si="526"/>
        <v>1</v>
      </c>
      <c r="Q239" s="1102">
        <f t="shared" si="526"/>
        <v>1</v>
      </c>
      <c r="R239" s="1102">
        <f t="shared" si="526"/>
        <v>0</v>
      </c>
      <c r="S239" s="1102">
        <f t="shared" si="526"/>
        <v>0</v>
      </c>
      <c r="T239" s="1686" t="s">
        <v>2741</v>
      </c>
      <c r="U239" s="1034">
        <v>46022</v>
      </c>
      <c r="V239" s="1035">
        <f t="shared" si="527"/>
        <v>4</v>
      </c>
      <c r="W239" s="1035">
        <f t="shared" si="528"/>
        <v>2</v>
      </c>
      <c r="X239" s="1291">
        <f t="shared" si="412"/>
        <v>0.5</v>
      </c>
      <c r="Y239" s="1104">
        <v>0.15</v>
      </c>
      <c r="Z239" s="1104">
        <v>0.15</v>
      </c>
      <c r="AA239" s="1104">
        <v>0.15</v>
      </c>
      <c r="AB239" s="1104">
        <v>0.15</v>
      </c>
      <c r="AC239" s="1104">
        <v>0.15</v>
      </c>
      <c r="AD239" s="1106">
        <v>35000000</v>
      </c>
      <c r="AE239" s="1106">
        <v>47250000</v>
      </c>
      <c r="AF239" s="1106">
        <v>55125000</v>
      </c>
      <c r="AG239" s="1106">
        <v>57881250</v>
      </c>
      <c r="AH239" s="1106">
        <v>35000000</v>
      </c>
      <c r="AI239" s="1106">
        <v>47250000</v>
      </c>
      <c r="AJ239" s="1106"/>
      <c r="AK239" s="1106"/>
      <c r="AL239" s="1295">
        <f t="shared" si="449"/>
        <v>1</v>
      </c>
      <c r="AM239" s="1295">
        <f t="shared" si="449"/>
        <v>1</v>
      </c>
      <c r="AN239" s="1295">
        <f t="shared" si="449"/>
        <v>0</v>
      </c>
      <c r="AO239" s="1295">
        <f t="shared" si="449"/>
        <v>0</v>
      </c>
      <c r="AP239" s="1109">
        <v>33881119</v>
      </c>
      <c r="AQ239" s="1187">
        <v>45397790.909999996</v>
      </c>
      <c r="AR239" s="1567"/>
      <c r="AS239" s="1188"/>
      <c r="AT239" s="1189">
        <f t="shared" si="450"/>
        <v>0.96803197142857145</v>
      </c>
      <c r="AU239" s="1189">
        <f t="shared" si="450"/>
        <v>0.9607998076190476</v>
      </c>
      <c r="AV239" s="1189">
        <f t="shared" si="450"/>
        <v>0</v>
      </c>
      <c r="AW239" s="1189">
        <f t="shared" si="450"/>
        <v>0</v>
      </c>
      <c r="AX239" s="1044">
        <f t="shared" si="529"/>
        <v>1118881</v>
      </c>
      <c r="AY239" s="1044">
        <f t="shared" si="529"/>
        <v>1852209.0900000036</v>
      </c>
      <c r="AZ239" s="1044">
        <f t="shared" si="529"/>
        <v>0</v>
      </c>
      <c r="BA239" s="1044">
        <f t="shared" si="529"/>
        <v>0</v>
      </c>
      <c r="BB239" s="1107"/>
      <c r="BC239" s="1107"/>
      <c r="BD239" s="1107"/>
      <c r="BE239" s="1107"/>
      <c r="BF239" s="1190">
        <f t="shared" si="451"/>
        <v>0</v>
      </c>
      <c r="BG239" s="1190">
        <f t="shared" si="451"/>
        <v>0</v>
      </c>
      <c r="BH239" s="1190" t="e">
        <f t="shared" si="451"/>
        <v>#DIV/0!</v>
      </c>
      <c r="BI239" s="1190" t="e">
        <f t="shared" si="451"/>
        <v>#DIV/0!</v>
      </c>
      <c r="BJ239" s="1107">
        <f t="shared" si="491"/>
        <v>195256250</v>
      </c>
      <c r="BK239" s="1110">
        <f t="shared" si="492"/>
        <v>82250000</v>
      </c>
      <c r="BL239" s="1111">
        <f t="shared" si="489"/>
        <v>0.42124131749943983</v>
      </c>
      <c r="BM239" s="1110">
        <f t="shared" si="490"/>
        <v>79278909.909999996</v>
      </c>
      <c r="BN239" s="1112">
        <f t="shared" si="471"/>
        <v>0.40602495392593063</v>
      </c>
      <c r="BO239" s="1113"/>
      <c r="BP239" s="2193" t="s">
        <v>596</v>
      </c>
      <c r="BQ239" s="2193" t="s">
        <v>2193</v>
      </c>
      <c r="BR239" s="1191" t="s">
        <v>596</v>
      </c>
    </row>
    <row r="240" spans="1:70" ht="12.75" customHeight="1">
      <c r="A240" s="2118" t="s">
        <v>2742</v>
      </c>
      <c r="B240" s="2118"/>
      <c r="C240" s="2119"/>
      <c r="D240" s="2119"/>
      <c r="E240" s="2120"/>
      <c r="F240" s="2120"/>
      <c r="G240" s="2120"/>
      <c r="H240" s="2120"/>
      <c r="I240" s="2120"/>
      <c r="J240" s="2120"/>
      <c r="K240" s="2120"/>
      <c r="L240" s="2120"/>
      <c r="M240" s="2120"/>
      <c r="N240" s="2120"/>
      <c r="O240" s="2120"/>
      <c r="P240" s="2121">
        <f>+(P241*Z241)+(P244*Z244)+(P246*Z246)</f>
        <v>1</v>
      </c>
      <c r="Q240" s="2121">
        <f t="shared" ref="Q240:S240" si="530">+(Q241*AA241)+(Q244*AA244)+(Q246*AA246)</f>
        <v>0.99486000000000008</v>
      </c>
      <c r="R240" s="2121">
        <f t="shared" si="530"/>
        <v>0</v>
      </c>
      <c r="S240" s="2121">
        <f t="shared" si="530"/>
        <v>0</v>
      </c>
      <c r="T240" s="2122"/>
      <c r="U240" s="2118"/>
      <c r="V240" s="2123"/>
      <c r="W240" s="2124">
        <f t="shared" si="414"/>
        <v>0</v>
      </c>
      <c r="X240" s="2121">
        <f>+(X241*Y241)+(X244*Y244)+(X246*Y246)</f>
        <v>0.51657214285714281</v>
      </c>
      <c r="Y240" s="2125">
        <v>0.125</v>
      </c>
      <c r="Z240" s="2125">
        <v>0.125</v>
      </c>
      <c r="AA240" s="2125">
        <v>0.125</v>
      </c>
      <c r="AB240" s="2125">
        <v>0.125</v>
      </c>
      <c r="AC240" s="2125">
        <v>0.125</v>
      </c>
      <c r="AD240" s="2119">
        <f>+AD241+AD244+AD246</f>
        <v>2597339177.0095644</v>
      </c>
      <c r="AE240" s="2119">
        <f>+AE241+AE244+AE246</f>
        <v>1060257600</v>
      </c>
      <c r="AF240" s="2119">
        <f t="shared" ref="AF240:AK240" si="531">+AF241+AF244+AF246</f>
        <v>1342992960</v>
      </c>
      <c r="AG240" s="2119">
        <f t="shared" si="531"/>
        <v>1526770944</v>
      </c>
      <c r="AH240" s="2119">
        <f t="shared" si="531"/>
        <v>2078325648.8093929</v>
      </c>
      <c r="AI240" s="2119">
        <f t="shared" si="531"/>
        <v>1048050101.6600001</v>
      </c>
      <c r="AJ240" s="2119">
        <f t="shared" si="531"/>
        <v>0</v>
      </c>
      <c r="AK240" s="2119">
        <f t="shared" si="531"/>
        <v>0</v>
      </c>
      <c r="AL240" s="2126">
        <f t="shared" si="449"/>
        <v>0.80017491254348405</v>
      </c>
      <c r="AM240" s="2126">
        <f t="shared" si="449"/>
        <v>0.98848629018080147</v>
      </c>
      <c r="AN240" s="2126">
        <f t="shared" si="449"/>
        <v>0</v>
      </c>
      <c r="AO240" s="2126">
        <f t="shared" si="449"/>
        <v>0</v>
      </c>
      <c r="AP240" s="2119">
        <f t="shared" ref="AP240:AS240" si="532">+AP241+AP244+AP246</f>
        <v>1938045293.130307</v>
      </c>
      <c r="AQ240" s="2127">
        <f t="shared" si="532"/>
        <v>1003925765.3099999</v>
      </c>
      <c r="AR240" s="2119">
        <f t="shared" si="532"/>
        <v>0</v>
      </c>
      <c r="AS240" s="2119">
        <f t="shared" si="532"/>
        <v>0</v>
      </c>
      <c r="AT240" s="2126">
        <f t="shared" si="450"/>
        <v>0.74616565687107039</v>
      </c>
      <c r="AU240" s="2126">
        <f t="shared" si="450"/>
        <v>0.94686967139872413</v>
      </c>
      <c r="AV240" s="2126">
        <f t="shared" si="450"/>
        <v>0</v>
      </c>
      <c r="AW240" s="2126">
        <f t="shared" si="450"/>
        <v>0</v>
      </c>
      <c r="AX240" s="2119">
        <f t="shared" ref="AX240:BE240" si="533">+AX241+AX244+AX246</f>
        <v>140280355.67908627</v>
      </c>
      <c r="AY240" s="2119">
        <f t="shared" si="533"/>
        <v>44124336.350000024</v>
      </c>
      <c r="AZ240" s="2119">
        <f t="shared" si="533"/>
        <v>0</v>
      </c>
      <c r="BA240" s="2119">
        <f t="shared" si="533"/>
        <v>0</v>
      </c>
      <c r="BB240" s="2119">
        <f t="shared" si="533"/>
        <v>0</v>
      </c>
      <c r="BC240" s="2119">
        <f t="shared" si="533"/>
        <v>0</v>
      </c>
      <c r="BD240" s="2119">
        <f t="shared" si="533"/>
        <v>0</v>
      </c>
      <c r="BE240" s="2119">
        <f t="shared" si="533"/>
        <v>0</v>
      </c>
      <c r="BF240" s="2125">
        <f t="shared" si="451"/>
        <v>0</v>
      </c>
      <c r="BG240" s="2125">
        <f t="shared" si="451"/>
        <v>0</v>
      </c>
      <c r="BH240" s="2125" t="e">
        <f t="shared" si="451"/>
        <v>#DIV/0!</v>
      </c>
      <c r="BI240" s="2125" t="e">
        <f t="shared" si="451"/>
        <v>#DIV/0!</v>
      </c>
      <c r="BJ240" s="2119">
        <f t="shared" si="491"/>
        <v>6527360681.0095644</v>
      </c>
      <c r="BK240" s="2127">
        <f t="shared" si="492"/>
        <v>3126375750.4693928</v>
      </c>
      <c r="BL240" s="2128">
        <f t="shared" si="489"/>
        <v>0.47896476129550219</v>
      </c>
      <c r="BM240" s="2127">
        <f t="shared" si="490"/>
        <v>2941971058.4403067</v>
      </c>
      <c r="BN240" s="2129">
        <f t="shared" si="471"/>
        <v>0.45071372675935567</v>
      </c>
      <c r="BO240" s="2119"/>
      <c r="BP240" s="2194"/>
      <c r="BQ240" s="2130"/>
      <c r="BR240" s="2130"/>
    </row>
    <row r="241" spans="1:70" ht="12.75" customHeight="1" thickBot="1">
      <c r="A241" s="2081" t="s">
        <v>2743</v>
      </c>
      <c r="B241" s="2081"/>
      <c r="C241" s="2082"/>
      <c r="D241" s="2082"/>
      <c r="E241" s="2083"/>
      <c r="F241" s="2083"/>
      <c r="G241" s="2083"/>
      <c r="H241" s="2083"/>
      <c r="I241" s="2083"/>
      <c r="J241" s="2083"/>
      <c r="K241" s="2083"/>
      <c r="L241" s="2083"/>
      <c r="M241" s="2083"/>
      <c r="N241" s="2083"/>
      <c r="O241" s="2083"/>
      <c r="P241" s="2084">
        <f>+SUMPRODUCT(P242:P243,Z242:Z243)</f>
        <v>1</v>
      </c>
      <c r="Q241" s="2084">
        <f t="shared" ref="Q241:S241" si="534">+SUMPRODUCT(Q242:Q243,AA242:AA243)</f>
        <v>1</v>
      </c>
      <c r="R241" s="2084">
        <f t="shared" si="534"/>
        <v>0</v>
      </c>
      <c r="S241" s="2084">
        <f t="shared" si="534"/>
        <v>0</v>
      </c>
      <c r="T241" s="2087"/>
      <c r="U241" s="2081"/>
      <c r="V241" s="2088"/>
      <c r="W241" s="2089">
        <f t="shared" si="414"/>
        <v>0</v>
      </c>
      <c r="X241" s="2084">
        <f>+SUMPRODUCT(X242:X243,Y242:Y243)</f>
        <v>0.5357142857142857</v>
      </c>
      <c r="Y241" s="2085">
        <v>0.5</v>
      </c>
      <c r="Z241" s="2085">
        <v>0.5</v>
      </c>
      <c r="AA241" s="2085">
        <v>0.5</v>
      </c>
      <c r="AB241" s="2085">
        <v>0.5</v>
      </c>
      <c r="AC241" s="2085">
        <v>0.5</v>
      </c>
      <c r="AD241" s="2082">
        <f>SUM(AD242:AD243)</f>
        <v>1900802138.2904921</v>
      </c>
      <c r="AE241" s="2082">
        <f>SUM(AE242:AE243)</f>
        <v>496886400</v>
      </c>
      <c r="AF241" s="2082">
        <f t="shared" ref="AF241:AK241" si="535">SUM(AF242:AF243)</f>
        <v>629389440</v>
      </c>
      <c r="AG241" s="2082">
        <f t="shared" si="535"/>
        <v>715516416</v>
      </c>
      <c r="AH241" s="2082">
        <f t="shared" si="535"/>
        <v>1384431674.21644</v>
      </c>
      <c r="AI241" s="2082">
        <f t="shared" si="535"/>
        <v>494219733.33000004</v>
      </c>
      <c r="AJ241" s="2082">
        <f t="shared" si="535"/>
        <v>0</v>
      </c>
      <c r="AK241" s="2082">
        <f t="shared" si="535"/>
        <v>0</v>
      </c>
      <c r="AL241" s="2090">
        <f t="shared" si="449"/>
        <v>0.72834076010749038</v>
      </c>
      <c r="AM241" s="2090">
        <f t="shared" si="449"/>
        <v>0.99463324681456378</v>
      </c>
      <c r="AN241" s="2090">
        <f t="shared" si="449"/>
        <v>0</v>
      </c>
      <c r="AO241" s="2090">
        <f t="shared" si="449"/>
        <v>0</v>
      </c>
      <c r="AP241" s="2082">
        <f t="shared" ref="AP241:AS241" si="536">SUM(AP242:AP243)</f>
        <v>1275202901.9118371</v>
      </c>
      <c r="AQ241" s="2091">
        <f t="shared" si="536"/>
        <v>467504449.52999997</v>
      </c>
      <c r="AR241" s="2082">
        <f t="shared" si="536"/>
        <v>0</v>
      </c>
      <c r="AS241" s="2082">
        <f t="shared" si="536"/>
        <v>0</v>
      </c>
      <c r="AT241" s="2090">
        <f t="shared" si="450"/>
        <v>0.67087619285756128</v>
      </c>
      <c r="AU241" s="2090">
        <f t="shared" si="450"/>
        <v>0.94086787146921302</v>
      </c>
      <c r="AV241" s="2090">
        <f t="shared" si="450"/>
        <v>0</v>
      </c>
      <c r="AW241" s="2090">
        <f t="shared" si="450"/>
        <v>0</v>
      </c>
      <c r="AX241" s="2082">
        <f t="shared" ref="AX241:BE241" si="537">SUM(AX242:AX243)</f>
        <v>109228772.30460304</v>
      </c>
      <c r="AY241" s="2082">
        <f t="shared" si="537"/>
        <v>26715283.800000012</v>
      </c>
      <c r="AZ241" s="2082">
        <f t="shared" si="537"/>
        <v>0</v>
      </c>
      <c r="BA241" s="2082">
        <f t="shared" si="537"/>
        <v>0</v>
      </c>
      <c r="BB241" s="2082">
        <f t="shared" si="537"/>
        <v>0</v>
      </c>
      <c r="BC241" s="2082">
        <f t="shared" si="537"/>
        <v>0</v>
      </c>
      <c r="BD241" s="2082">
        <f t="shared" si="537"/>
        <v>0</v>
      </c>
      <c r="BE241" s="2082">
        <f t="shared" si="537"/>
        <v>0</v>
      </c>
      <c r="BF241" s="2085">
        <f t="shared" si="451"/>
        <v>0</v>
      </c>
      <c r="BG241" s="2085">
        <f t="shared" si="451"/>
        <v>0</v>
      </c>
      <c r="BH241" s="2085" t="e">
        <f t="shared" si="451"/>
        <v>#DIV/0!</v>
      </c>
      <c r="BI241" s="2085" t="e">
        <f t="shared" si="451"/>
        <v>#DIV/0!</v>
      </c>
      <c r="BJ241" s="2082">
        <f t="shared" si="491"/>
        <v>3742594394.2904921</v>
      </c>
      <c r="BK241" s="2091">
        <f t="shared" si="492"/>
        <v>1878651407.5464401</v>
      </c>
      <c r="BL241" s="2092">
        <f t="shared" si="489"/>
        <v>0.50196500331759519</v>
      </c>
      <c r="BM241" s="2091">
        <f t="shared" si="490"/>
        <v>1742707351.4418371</v>
      </c>
      <c r="BN241" s="2093">
        <f t="shared" si="471"/>
        <v>0.46564152238896661</v>
      </c>
      <c r="BO241" s="2082"/>
      <c r="BP241" s="2180"/>
      <c r="BQ241" s="2094"/>
      <c r="BR241" s="2094"/>
    </row>
    <row r="242" spans="1:70" ht="12.75" customHeight="1" thickBot="1">
      <c r="A242" s="1851" t="s">
        <v>2744</v>
      </c>
      <c r="B242" s="1867" t="s">
        <v>2745</v>
      </c>
      <c r="C242" s="1274" t="s">
        <v>597</v>
      </c>
      <c r="D242" s="1886">
        <v>1</v>
      </c>
      <c r="E242" s="1887">
        <v>1</v>
      </c>
      <c r="F242" s="2195">
        <v>1</v>
      </c>
      <c r="G242" s="2196">
        <v>1</v>
      </c>
      <c r="H242" s="1344">
        <v>1</v>
      </c>
      <c r="I242" s="1280">
        <v>1</v>
      </c>
      <c r="J242" s="1030"/>
      <c r="K242" s="1030"/>
      <c r="L242" s="1030"/>
      <c r="M242" s="1031"/>
      <c r="N242" s="1031"/>
      <c r="O242" s="1031"/>
      <c r="P242" s="1032">
        <f t="shared" ref="P242:S243" si="538">IF((H242+L242)/D242&gt;=100%,100%,(H242+L242)/D242)</f>
        <v>1</v>
      </c>
      <c r="Q242" s="1032">
        <f t="shared" si="538"/>
        <v>1</v>
      </c>
      <c r="R242" s="1032">
        <f t="shared" si="538"/>
        <v>0</v>
      </c>
      <c r="S242" s="1032">
        <f t="shared" si="538"/>
        <v>0</v>
      </c>
      <c r="T242" s="1702" t="s">
        <v>2746</v>
      </c>
      <c r="U242" s="1034">
        <v>46022</v>
      </c>
      <c r="V242" s="1035">
        <f t="shared" ref="V242:V243" si="539">SUM(D242:G242)</f>
        <v>4</v>
      </c>
      <c r="W242" s="1035">
        <f t="shared" ref="W242:W243" si="540">SUM(H242:N242)</f>
        <v>2</v>
      </c>
      <c r="X242" s="1279">
        <f t="shared" si="412"/>
        <v>0.5</v>
      </c>
      <c r="Y242" s="1037">
        <v>0.5</v>
      </c>
      <c r="Z242" s="1037">
        <v>0.5</v>
      </c>
      <c r="AA242" s="1037">
        <v>0.5</v>
      </c>
      <c r="AB242" s="1037">
        <v>0.5</v>
      </c>
      <c r="AC242" s="1037">
        <v>0.5</v>
      </c>
      <c r="AD242" s="1345">
        <f>188860000+1412012389.34952</f>
        <v>1600872389.34952</v>
      </c>
      <c r="AE242" s="1345">
        <v>248443200</v>
      </c>
      <c r="AF242" s="1345">
        <v>314694720</v>
      </c>
      <c r="AG242" s="1345">
        <v>357758208</v>
      </c>
      <c r="AH242" s="1137">
        <f>183232948+906393652.36397</f>
        <v>1089626600.36397</v>
      </c>
      <c r="AI242" s="1137">
        <v>245776533.33000001</v>
      </c>
      <c r="AJ242" s="1137"/>
      <c r="AK242" s="1137"/>
      <c r="AL242" s="1048">
        <f t="shared" si="449"/>
        <v>0.68064550779510691</v>
      </c>
      <c r="AM242" s="1048">
        <f t="shared" si="449"/>
        <v>0.98926649362912733</v>
      </c>
      <c r="AN242" s="1048">
        <f t="shared" si="449"/>
        <v>0</v>
      </c>
      <c r="AO242" s="1048">
        <f t="shared" si="449"/>
        <v>0</v>
      </c>
      <c r="AP242" s="1283">
        <f>172882304+833636907.615994</f>
        <v>1006519211.615994</v>
      </c>
      <c r="AQ242" s="1041">
        <v>229046670.43000001</v>
      </c>
      <c r="AR242" s="1552"/>
      <c r="AS242" s="1042"/>
      <c r="AT242" s="1043">
        <f t="shared" si="450"/>
        <v>0.62873169548821528</v>
      </c>
      <c r="AU242" s="1043">
        <f t="shared" si="450"/>
        <v>0.92192770995543449</v>
      </c>
      <c r="AV242" s="1043">
        <f t="shared" si="450"/>
        <v>0</v>
      </c>
      <c r="AW242" s="1043">
        <f t="shared" si="450"/>
        <v>0</v>
      </c>
      <c r="AX242" s="1044">
        <f t="shared" ref="AX242:BA243" si="541">+AH242-AP242</f>
        <v>83107388.747976065</v>
      </c>
      <c r="AY242" s="1044">
        <f t="shared" si="541"/>
        <v>16729862.900000006</v>
      </c>
      <c r="AZ242" s="1044">
        <f t="shared" si="541"/>
        <v>0</v>
      </c>
      <c r="BA242" s="1044">
        <f t="shared" si="541"/>
        <v>0</v>
      </c>
      <c r="BB242" s="1283"/>
      <c r="BC242" s="1283"/>
      <c r="BD242" s="1283"/>
      <c r="BE242" s="1283"/>
      <c r="BF242" s="1045">
        <f t="shared" si="451"/>
        <v>0</v>
      </c>
      <c r="BG242" s="1045">
        <f t="shared" si="451"/>
        <v>0</v>
      </c>
      <c r="BH242" s="1045" t="e">
        <f t="shared" si="451"/>
        <v>#DIV/0!</v>
      </c>
      <c r="BI242" s="1045" t="e">
        <f t="shared" si="451"/>
        <v>#DIV/0!</v>
      </c>
      <c r="BJ242" s="1283">
        <f t="shared" si="491"/>
        <v>2521768517.3495197</v>
      </c>
      <c r="BK242" s="1046">
        <f t="shared" si="492"/>
        <v>1335403133.69397</v>
      </c>
      <c r="BL242" s="1047">
        <f t="shared" si="489"/>
        <v>0.52955024400793627</v>
      </c>
      <c r="BM242" s="1046">
        <f t="shared" si="490"/>
        <v>1235565882.045994</v>
      </c>
      <c r="BN242" s="1048">
        <f t="shared" si="471"/>
        <v>0.48996007109511525</v>
      </c>
      <c r="BO242" s="1049" t="s">
        <v>2226</v>
      </c>
      <c r="BP242" s="2182" t="s">
        <v>596</v>
      </c>
      <c r="BQ242" s="2182" t="s">
        <v>2193</v>
      </c>
      <c r="BR242" s="1146" t="s">
        <v>596</v>
      </c>
    </row>
    <row r="243" spans="1:70" ht="12.75" customHeight="1" thickBot="1">
      <c r="A243" s="1795" t="s">
        <v>2747</v>
      </c>
      <c r="B243" s="1796" t="s">
        <v>2748</v>
      </c>
      <c r="C243" s="1285" t="s">
        <v>2181</v>
      </c>
      <c r="D243" s="1874">
        <v>0.5</v>
      </c>
      <c r="E243" s="1875">
        <v>1</v>
      </c>
      <c r="F243" s="2173">
        <v>1</v>
      </c>
      <c r="G243" s="2174">
        <v>1</v>
      </c>
      <c r="H243" s="1877">
        <v>1</v>
      </c>
      <c r="I243" s="1878">
        <v>1</v>
      </c>
      <c r="J243" s="1182"/>
      <c r="K243" s="1182"/>
      <c r="L243" s="1182"/>
      <c r="M243" s="1101"/>
      <c r="N243" s="1101"/>
      <c r="O243" s="1101"/>
      <c r="P243" s="1102">
        <f t="shared" si="538"/>
        <v>1</v>
      </c>
      <c r="Q243" s="1102">
        <f t="shared" si="538"/>
        <v>1</v>
      </c>
      <c r="R243" s="1102">
        <f t="shared" si="538"/>
        <v>0</v>
      </c>
      <c r="S243" s="1102">
        <f t="shared" si="538"/>
        <v>0</v>
      </c>
      <c r="T243" s="1686" t="s">
        <v>2749</v>
      </c>
      <c r="U243" s="1034">
        <v>46022</v>
      </c>
      <c r="V243" s="1035">
        <f t="shared" si="539"/>
        <v>3.5</v>
      </c>
      <c r="W243" s="1035">
        <f t="shared" si="540"/>
        <v>2</v>
      </c>
      <c r="X243" s="1291">
        <f t="shared" ref="X243" si="542">IF(W243/V243&gt;=100%,100%,W243/V243)</f>
        <v>0.5714285714285714</v>
      </c>
      <c r="Y243" s="1104">
        <v>0.5</v>
      </c>
      <c r="Z243" s="1104">
        <v>0.5</v>
      </c>
      <c r="AA243" s="1104">
        <v>0.5</v>
      </c>
      <c r="AB243" s="1104">
        <v>0.5</v>
      </c>
      <c r="AC243" s="1104">
        <v>0.5</v>
      </c>
      <c r="AD243" s="1106">
        <f>188860000+111069748.940972</f>
        <v>299929748.94097197</v>
      </c>
      <c r="AE243" s="1106">
        <v>248443200</v>
      </c>
      <c r="AF243" s="1106">
        <v>314694720</v>
      </c>
      <c r="AG243" s="1106">
        <v>357758208</v>
      </c>
      <c r="AH243" s="1106">
        <f>183735325+111069748.85247</f>
        <v>294805073.85246998</v>
      </c>
      <c r="AI243" s="1106">
        <v>248443200</v>
      </c>
      <c r="AJ243" s="1106"/>
      <c r="AK243" s="1106"/>
      <c r="AL243" s="1112">
        <f t="shared" si="449"/>
        <v>0.98291374861414449</v>
      </c>
      <c r="AM243" s="1112">
        <f t="shared" si="449"/>
        <v>1</v>
      </c>
      <c r="AN243" s="1112">
        <f t="shared" si="449"/>
        <v>0</v>
      </c>
      <c r="AO243" s="1112">
        <f t="shared" si="449"/>
        <v>0</v>
      </c>
      <c r="AP243" s="1107">
        <f>173429132+95254558.295843</f>
        <v>268683690.29584301</v>
      </c>
      <c r="AQ243" s="1187">
        <v>238457779.09999999</v>
      </c>
      <c r="AR243" s="1567"/>
      <c r="AS243" s="1188"/>
      <c r="AT243" s="1189">
        <f t="shared" si="450"/>
        <v>0.89582207581789963</v>
      </c>
      <c r="AU243" s="1189">
        <f t="shared" si="450"/>
        <v>0.95980803298299167</v>
      </c>
      <c r="AV243" s="1189">
        <f t="shared" si="450"/>
        <v>0</v>
      </c>
      <c r="AW243" s="1189">
        <f t="shared" si="450"/>
        <v>0</v>
      </c>
      <c r="AX243" s="1044">
        <f t="shared" si="541"/>
        <v>26121383.556626976</v>
      </c>
      <c r="AY243" s="1044">
        <f t="shared" si="541"/>
        <v>9985420.900000006</v>
      </c>
      <c r="AZ243" s="1044">
        <f t="shared" si="541"/>
        <v>0</v>
      </c>
      <c r="BA243" s="1044">
        <f t="shared" si="541"/>
        <v>0</v>
      </c>
      <c r="BB243" s="1107"/>
      <c r="BC243" s="1107"/>
      <c r="BD243" s="1107"/>
      <c r="BE243" s="1107"/>
      <c r="BF243" s="1190">
        <f t="shared" si="451"/>
        <v>0</v>
      </c>
      <c r="BG243" s="1190">
        <f t="shared" si="451"/>
        <v>0</v>
      </c>
      <c r="BH243" s="1190" t="e">
        <f t="shared" si="451"/>
        <v>#DIV/0!</v>
      </c>
      <c r="BI243" s="1190" t="e">
        <f t="shared" si="451"/>
        <v>#DIV/0!</v>
      </c>
      <c r="BJ243" s="1107">
        <f t="shared" si="491"/>
        <v>1220825876.9409719</v>
      </c>
      <c r="BK243" s="1110">
        <f t="shared" si="492"/>
        <v>543248273.85246992</v>
      </c>
      <c r="BL243" s="1111">
        <f t="shared" si="489"/>
        <v>0.44498423904127038</v>
      </c>
      <c r="BM243" s="1110">
        <f t="shared" si="490"/>
        <v>507141469.39584303</v>
      </c>
      <c r="BN243" s="1112">
        <f t="shared" si="471"/>
        <v>0.41540851891720165</v>
      </c>
      <c r="BO243" s="2106" t="s">
        <v>2653</v>
      </c>
      <c r="BP243" s="2193" t="s">
        <v>596</v>
      </c>
      <c r="BQ243" s="2193" t="s">
        <v>2193</v>
      </c>
      <c r="BR243" s="1191" t="s">
        <v>596</v>
      </c>
    </row>
    <row r="244" spans="1:70" ht="12.75" customHeight="1" thickBot="1">
      <c r="A244" s="2135" t="s">
        <v>2750</v>
      </c>
      <c r="B244" s="2135"/>
      <c r="C244" s="2136"/>
      <c r="D244" s="2136"/>
      <c r="E244" s="2137"/>
      <c r="F244" s="2137"/>
      <c r="G244" s="2137"/>
      <c r="H244" s="2137"/>
      <c r="I244" s="2137"/>
      <c r="J244" s="2137"/>
      <c r="K244" s="2137"/>
      <c r="L244" s="2137"/>
      <c r="M244" s="2137"/>
      <c r="N244" s="2137"/>
      <c r="O244" s="2137"/>
      <c r="P244" s="2138">
        <f>+SUMPRODUCT(P245:P245,Z245:Z245)</f>
        <v>1</v>
      </c>
      <c r="Q244" s="2138">
        <f t="shared" ref="Q244:S244" si="543">+SUMPRODUCT(Q245:Q245,AA245:AA245)</f>
        <v>0.97430000000000005</v>
      </c>
      <c r="R244" s="2138">
        <f t="shared" si="543"/>
        <v>0</v>
      </c>
      <c r="S244" s="2138">
        <f t="shared" si="543"/>
        <v>0</v>
      </c>
      <c r="T244" s="2139"/>
      <c r="U244" s="2135"/>
      <c r="V244" s="2140"/>
      <c r="W244" s="2141">
        <f t="shared" ref="W244:W280" si="544">SUM(D244:J244)</f>
        <v>0</v>
      </c>
      <c r="X244" s="2138">
        <f>+SUMPRODUCT(X245:X245,Y245:Y245)</f>
        <v>0.49357499999999999</v>
      </c>
      <c r="Y244" s="2142">
        <v>0.2</v>
      </c>
      <c r="Z244" s="2142">
        <v>0.2</v>
      </c>
      <c r="AA244" s="2142">
        <v>0.2</v>
      </c>
      <c r="AB244" s="2142">
        <v>0.2</v>
      </c>
      <c r="AC244" s="2142">
        <v>0.2</v>
      </c>
      <c r="AD244" s="2136">
        <f>SUM(AD245)</f>
        <v>213415242.49535421</v>
      </c>
      <c r="AE244" s="2136">
        <f>SUM(AE245)</f>
        <v>216950400</v>
      </c>
      <c r="AF244" s="2136">
        <f t="shared" ref="AF244:AK244" si="545">SUM(AF245)</f>
        <v>274803840.00000006</v>
      </c>
      <c r="AG244" s="2136">
        <f t="shared" si="545"/>
        <v>312408576.00000006</v>
      </c>
      <c r="AH244" s="2136">
        <f t="shared" si="545"/>
        <v>210772178.45671201</v>
      </c>
      <c r="AI244" s="2136">
        <f t="shared" si="545"/>
        <v>214597995</v>
      </c>
      <c r="AJ244" s="2136">
        <f t="shared" si="545"/>
        <v>0</v>
      </c>
      <c r="AK244" s="2136">
        <f t="shared" si="545"/>
        <v>0</v>
      </c>
      <c r="AL244" s="2143">
        <f t="shared" si="449"/>
        <v>0.98761539237901563</v>
      </c>
      <c r="AM244" s="2143">
        <f t="shared" si="449"/>
        <v>0.98915694555068812</v>
      </c>
      <c r="AN244" s="2143">
        <f t="shared" si="449"/>
        <v>0</v>
      </c>
      <c r="AO244" s="2143">
        <f t="shared" si="449"/>
        <v>0</v>
      </c>
      <c r="AP244" s="2136">
        <f t="shared" ref="AP244:AS244" si="546">SUM(AP245)</f>
        <v>199352394.41086102</v>
      </c>
      <c r="AQ244" s="2144">
        <f t="shared" si="546"/>
        <v>210805233.13</v>
      </c>
      <c r="AR244" s="2136">
        <f t="shared" si="546"/>
        <v>0</v>
      </c>
      <c r="AS244" s="2136">
        <f t="shared" si="546"/>
        <v>0</v>
      </c>
      <c r="AT244" s="2143">
        <f t="shared" si="450"/>
        <v>0.9341056996676359</v>
      </c>
      <c r="AU244" s="2143">
        <f t="shared" si="450"/>
        <v>0.97167478432858378</v>
      </c>
      <c r="AV244" s="2143">
        <f t="shared" si="450"/>
        <v>0</v>
      </c>
      <c r="AW244" s="2143">
        <f t="shared" si="450"/>
        <v>0</v>
      </c>
      <c r="AX244" s="2136">
        <f t="shared" ref="AX244:BE244" si="547">SUM(AX245)</f>
        <v>11419784.045850992</v>
      </c>
      <c r="AY244" s="2136">
        <f t="shared" si="547"/>
        <v>3792761.8700000048</v>
      </c>
      <c r="AZ244" s="2136">
        <f t="shared" si="547"/>
        <v>0</v>
      </c>
      <c r="BA244" s="2136">
        <f t="shared" si="547"/>
        <v>0</v>
      </c>
      <c r="BB244" s="2136">
        <f t="shared" si="547"/>
        <v>0</v>
      </c>
      <c r="BC244" s="2136">
        <f t="shared" si="547"/>
        <v>0</v>
      </c>
      <c r="BD244" s="2136">
        <f t="shared" si="547"/>
        <v>0</v>
      </c>
      <c r="BE244" s="2136">
        <f t="shared" si="547"/>
        <v>0</v>
      </c>
      <c r="BF244" s="2142">
        <f t="shared" si="451"/>
        <v>0</v>
      </c>
      <c r="BG244" s="2142">
        <f t="shared" si="451"/>
        <v>0</v>
      </c>
      <c r="BH244" s="2142" t="e">
        <f t="shared" si="451"/>
        <v>#DIV/0!</v>
      </c>
      <c r="BI244" s="2142" t="e">
        <f t="shared" si="451"/>
        <v>#DIV/0!</v>
      </c>
      <c r="BJ244" s="2136">
        <f t="shared" si="491"/>
        <v>1017578058.4953542</v>
      </c>
      <c r="BK244" s="2144">
        <f t="shared" si="492"/>
        <v>425370173.45671201</v>
      </c>
      <c r="BL244" s="2145">
        <f t="shared" si="489"/>
        <v>0.41802215555402922</v>
      </c>
      <c r="BM244" s="2144">
        <f t="shared" si="490"/>
        <v>410157627.54086101</v>
      </c>
      <c r="BN244" s="2146">
        <f t="shared" si="471"/>
        <v>0.40307239736216621</v>
      </c>
      <c r="BO244" s="2136"/>
      <c r="BP244" s="2197"/>
      <c r="BQ244" s="2147"/>
      <c r="BR244" s="2147"/>
    </row>
    <row r="245" spans="1:70" ht="12.75" customHeight="1" thickBot="1">
      <c r="A245" s="1845" t="s">
        <v>2751</v>
      </c>
      <c r="B245" s="1821" t="s">
        <v>2752</v>
      </c>
      <c r="C245" s="1230" t="s">
        <v>597</v>
      </c>
      <c r="D245" s="1862">
        <v>1</v>
      </c>
      <c r="E245" s="1863">
        <v>1</v>
      </c>
      <c r="F245" s="2198">
        <v>1</v>
      </c>
      <c r="G245" s="2199">
        <v>1</v>
      </c>
      <c r="H245" s="2200">
        <v>0.88700000000000001</v>
      </c>
      <c r="I245" s="1235">
        <v>0.97430000000000005</v>
      </c>
      <c r="J245" s="1236"/>
      <c r="K245" s="1236"/>
      <c r="L245" s="1249">
        <v>0.113</v>
      </c>
      <c r="M245" s="1237"/>
      <c r="N245" s="1237"/>
      <c r="O245" s="1237"/>
      <c r="P245" s="1238">
        <f t="shared" ref="P245:S245" si="548">IF((H245+L245)/D245&gt;=100%,100%,(H245+L245)/D245)</f>
        <v>1</v>
      </c>
      <c r="Q245" s="1238">
        <f t="shared" si="548"/>
        <v>0.97430000000000005</v>
      </c>
      <c r="R245" s="1238">
        <f t="shared" si="548"/>
        <v>0</v>
      </c>
      <c r="S245" s="1238">
        <f t="shared" si="548"/>
        <v>0</v>
      </c>
      <c r="T245" s="1694" t="s">
        <v>2753</v>
      </c>
      <c r="U245" s="1034">
        <v>46022</v>
      </c>
      <c r="V245" s="1035">
        <f>SUM(D245:G245)</f>
        <v>4</v>
      </c>
      <c r="W245" s="1035">
        <f>SUM(H245:N245)</f>
        <v>1.9742999999999999</v>
      </c>
      <c r="X245" s="1700">
        <f t="shared" ref="X245:X283" si="549">IF(W245/V245&gt;=100%,100%,W245/V245)</f>
        <v>0.49357499999999999</v>
      </c>
      <c r="Y245" s="1241">
        <v>1</v>
      </c>
      <c r="Z245" s="1241">
        <v>1</v>
      </c>
      <c r="AA245" s="1241">
        <v>1</v>
      </c>
      <c r="AB245" s="1241">
        <v>1</v>
      </c>
      <c r="AC245" s="1241">
        <v>1</v>
      </c>
      <c r="AD245" s="1244">
        <f>164920000+48495242.4953542</f>
        <v>213415242.49535421</v>
      </c>
      <c r="AE245" s="1244">
        <v>216950400</v>
      </c>
      <c r="AF245" s="1244">
        <v>274803840.00000006</v>
      </c>
      <c r="AG245" s="1244">
        <v>312408576.00000006</v>
      </c>
      <c r="AH245" s="1244">
        <f>162276936+48495242.456712</f>
        <v>210772178.45671201</v>
      </c>
      <c r="AI245" s="1244">
        <v>214597995</v>
      </c>
      <c r="AJ245" s="1244"/>
      <c r="AK245" s="1244"/>
      <c r="AL245" s="1245">
        <f t="shared" si="449"/>
        <v>0.98761539237901563</v>
      </c>
      <c r="AM245" s="1245">
        <f t="shared" si="449"/>
        <v>0.98915694555068812</v>
      </c>
      <c r="AN245" s="1245">
        <f t="shared" si="449"/>
        <v>0</v>
      </c>
      <c r="AO245" s="1245">
        <f t="shared" si="449"/>
        <v>0</v>
      </c>
      <c r="AP245" s="1246">
        <f>157762376+41590018.410861</f>
        <v>199352394.41086102</v>
      </c>
      <c r="AQ245" s="1247">
        <v>210805233.13</v>
      </c>
      <c r="AR245" s="1568"/>
      <c r="AS245" s="1248"/>
      <c r="AT245" s="1249">
        <f t="shared" si="450"/>
        <v>0.9341056996676359</v>
      </c>
      <c r="AU245" s="1249">
        <f t="shared" si="450"/>
        <v>0.97167478432858378</v>
      </c>
      <c r="AV245" s="1249">
        <f t="shared" si="450"/>
        <v>0</v>
      </c>
      <c r="AW245" s="1249">
        <f t="shared" si="450"/>
        <v>0</v>
      </c>
      <c r="AX245" s="1044">
        <f t="shared" ref="AX245:BA245" si="550">+AH245-AP245</f>
        <v>11419784.045850992</v>
      </c>
      <c r="AY245" s="1044">
        <f t="shared" si="550"/>
        <v>3792761.8700000048</v>
      </c>
      <c r="AZ245" s="1044">
        <f t="shared" si="550"/>
        <v>0</v>
      </c>
      <c r="BA245" s="1044">
        <f t="shared" si="550"/>
        <v>0</v>
      </c>
      <c r="BB245" s="1250"/>
      <c r="BC245" s="1250"/>
      <c r="BD245" s="1250"/>
      <c r="BE245" s="1250"/>
      <c r="BF245" s="1251">
        <f t="shared" si="451"/>
        <v>0</v>
      </c>
      <c r="BG245" s="1251">
        <f t="shared" si="451"/>
        <v>0</v>
      </c>
      <c r="BH245" s="1251" t="e">
        <f t="shared" si="451"/>
        <v>#DIV/0!</v>
      </c>
      <c r="BI245" s="1251" t="e">
        <f t="shared" si="451"/>
        <v>#DIV/0!</v>
      </c>
      <c r="BJ245" s="1250">
        <f t="shared" si="491"/>
        <v>1017578058.4953542</v>
      </c>
      <c r="BK245" s="1252">
        <f t="shared" si="492"/>
        <v>425370173.45671201</v>
      </c>
      <c r="BL245" s="1253">
        <f t="shared" si="489"/>
        <v>0.41802215555402922</v>
      </c>
      <c r="BM245" s="1252">
        <f t="shared" si="490"/>
        <v>410157627.54086101</v>
      </c>
      <c r="BN245" s="1254">
        <f t="shared" si="471"/>
        <v>0.40307239736216621</v>
      </c>
      <c r="BO245" s="2106" t="s">
        <v>2653</v>
      </c>
      <c r="BP245" s="2178" t="s">
        <v>596</v>
      </c>
      <c r="BQ245" s="2178" t="s">
        <v>2193</v>
      </c>
      <c r="BR245" s="1256" t="s">
        <v>596</v>
      </c>
    </row>
    <row r="246" spans="1:70" ht="12.75" customHeight="1" thickBot="1">
      <c r="A246" s="2135" t="s">
        <v>2754</v>
      </c>
      <c r="B246" s="2135"/>
      <c r="C246" s="2136"/>
      <c r="D246" s="2136"/>
      <c r="E246" s="2137"/>
      <c r="F246" s="2137"/>
      <c r="G246" s="2137"/>
      <c r="H246" s="2137"/>
      <c r="I246" s="2137"/>
      <c r="J246" s="2137"/>
      <c r="K246" s="2137"/>
      <c r="L246" s="2137"/>
      <c r="M246" s="2137"/>
      <c r="N246" s="2137"/>
      <c r="O246" s="2137"/>
      <c r="P246" s="2138">
        <f>+SUMPRODUCT(P247:P247,Z247:Z247)</f>
        <v>1</v>
      </c>
      <c r="Q246" s="2138">
        <f t="shared" ref="Q246:S246" si="551">+SUMPRODUCT(Q247:Q247,AA247:AA247)</f>
        <v>1</v>
      </c>
      <c r="R246" s="2138">
        <f t="shared" si="551"/>
        <v>0</v>
      </c>
      <c r="S246" s="2138">
        <f t="shared" si="551"/>
        <v>0</v>
      </c>
      <c r="T246" s="2139"/>
      <c r="U246" s="2135"/>
      <c r="V246" s="2140"/>
      <c r="W246" s="2141">
        <f t="shared" si="544"/>
        <v>0</v>
      </c>
      <c r="X246" s="2138">
        <f>+SUMPRODUCT(X247:X247,Y247:Y247)</f>
        <v>0.5</v>
      </c>
      <c r="Y246" s="2142">
        <v>0.3</v>
      </c>
      <c r="Z246" s="2142">
        <v>0.3</v>
      </c>
      <c r="AA246" s="2142">
        <v>0.3</v>
      </c>
      <c r="AB246" s="2142">
        <v>0.3</v>
      </c>
      <c r="AC246" s="2142">
        <v>0.3</v>
      </c>
      <c r="AD246" s="2136">
        <f>SUM(AD247)</f>
        <v>483121796.22371799</v>
      </c>
      <c r="AE246" s="2136">
        <f>SUM(AE247)</f>
        <v>346420800</v>
      </c>
      <c r="AF246" s="2136">
        <f t="shared" ref="AF246:AK246" si="552">SUM(AF247)</f>
        <v>438799680.00000006</v>
      </c>
      <c r="AG246" s="2136">
        <f t="shared" si="552"/>
        <v>498845952.00000012</v>
      </c>
      <c r="AH246" s="2136">
        <f t="shared" si="552"/>
        <v>483121796.13624102</v>
      </c>
      <c r="AI246" s="2136">
        <f t="shared" si="552"/>
        <v>339232373.32999998</v>
      </c>
      <c r="AJ246" s="2136">
        <f t="shared" si="552"/>
        <v>0</v>
      </c>
      <c r="AK246" s="2136">
        <f t="shared" si="552"/>
        <v>0</v>
      </c>
      <c r="AL246" s="2143">
        <f t="shared" si="449"/>
        <v>0.99999999981893395</v>
      </c>
      <c r="AM246" s="2143">
        <f t="shared" si="449"/>
        <v>0.97924943689870814</v>
      </c>
      <c r="AN246" s="2143">
        <f t="shared" si="449"/>
        <v>0</v>
      </c>
      <c r="AO246" s="2143">
        <f t="shared" si="449"/>
        <v>0</v>
      </c>
      <c r="AP246" s="2136">
        <f t="shared" ref="AP246:AS246" si="553">SUM(AP247)</f>
        <v>463489996.80760878</v>
      </c>
      <c r="AQ246" s="2144">
        <f t="shared" si="553"/>
        <v>325616082.64999998</v>
      </c>
      <c r="AR246" s="2136">
        <f t="shared" si="553"/>
        <v>0</v>
      </c>
      <c r="AS246" s="2136">
        <f t="shared" si="553"/>
        <v>0</v>
      </c>
      <c r="AT246" s="2143">
        <f t="shared" si="450"/>
        <v>0.95936469939969682</v>
      </c>
      <c r="AU246" s="2143">
        <f t="shared" si="450"/>
        <v>0.9399437985536665</v>
      </c>
      <c r="AV246" s="2143">
        <f t="shared" si="450"/>
        <v>0</v>
      </c>
      <c r="AW246" s="2143">
        <f t="shared" si="450"/>
        <v>0</v>
      </c>
      <c r="AX246" s="2136">
        <f t="shared" ref="AX246:BE246" si="554">SUM(AX247)</f>
        <v>19631799.328632236</v>
      </c>
      <c r="AY246" s="2136">
        <f t="shared" si="554"/>
        <v>13616290.680000007</v>
      </c>
      <c r="AZ246" s="2136">
        <f t="shared" si="554"/>
        <v>0</v>
      </c>
      <c r="BA246" s="2136">
        <f t="shared" si="554"/>
        <v>0</v>
      </c>
      <c r="BB246" s="2136">
        <f t="shared" si="554"/>
        <v>0</v>
      </c>
      <c r="BC246" s="2136">
        <f t="shared" si="554"/>
        <v>0</v>
      </c>
      <c r="BD246" s="2136">
        <f t="shared" si="554"/>
        <v>0</v>
      </c>
      <c r="BE246" s="2136">
        <f t="shared" si="554"/>
        <v>0</v>
      </c>
      <c r="BF246" s="2142">
        <f t="shared" si="451"/>
        <v>0</v>
      </c>
      <c r="BG246" s="2142">
        <f t="shared" si="451"/>
        <v>0</v>
      </c>
      <c r="BH246" s="2142" t="e">
        <f t="shared" si="451"/>
        <v>#DIV/0!</v>
      </c>
      <c r="BI246" s="2142" t="e">
        <f t="shared" si="451"/>
        <v>#DIV/0!</v>
      </c>
      <c r="BJ246" s="2136">
        <f t="shared" si="491"/>
        <v>1767188228.2237182</v>
      </c>
      <c r="BK246" s="2144">
        <f t="shared" si="492"/>
        <v>822354169.466241</v>
      </c>
      <c r="BL246" s="2145">
        <f t="shared" si="489"/>
        <v>0.46534611103245455</v>
      </c>
      <c r="BM246" s="2144">
        <f t="shared" si="490"/>
        <v>789106079.4576087</v>
      </c>
      <c r="BN246" s="2146">
        <f t="shared" si="471"/>
        <v>0.44653199181321807</v>
      </c>
      <c r="BO246" s="2136"/>
      <c r="BP246" s="2197"/>
      <c r="BQ246" s="2147"/>
      <c r="BR246" s="2147"/>
    </row>
    <row r="247" spans="1:70" ht="12.75" customHeight="1" thickBot="1">
      <c r="A247" s="1845" t="s">
        <v>2755</v>
      </c>
      <c r="B247" s="1821" t="s">
        <v>2756</v>
      </c>
      <c r="C247" s="1230" t="s">
        <v>597</v>
      </c>
      <c r="D247" s="1862">
        <v>1</v>
      </c>
      <c r="E247" s="1863">
        <v>1</v>
      </c>
      <c r="F247" s="2198">
        <v>1</v>
      </c>
      <c r="G247" s="2199">
        <v>1</v>
      </c>
      <c r="H247" s="1865">
        <v>1</v>
      </c>
      <c r="I247" s="1235">
        <v>1</v>
      </c>
      <c r="J247" s="1236"/>
      <c r="K247" s="1236"/>
      <c r="L247" s="1236"/>
      <c r="M247" s="1237"/>
      <c r="N247" s="1237"/>
      <c r="O247" s="1237"/>
      <c r="P247" s="1238">
        <f t="shared" ref="P247:S247" si="555">IF((H247+L247)/D247&gt;=100%,100%,(H247+L247)/D247)</f>
        <v>1</v>
      </c>
      <c r="Q247" s="1238">
        <f t="shared" si="555"/>
        <v>1</v>
      </c>
      <c r="R247" s="1238">
        <f t="shared" si="555"/>
        <v>0</v>
      </c>
      <c r="S247" s="1238">
        <f t="shared" si="555"/>
        <v>0</v>
      </c>
      <c r="T247" s="1694" t="s">
        <v>2757</v>
      </c>
      <c r="U247" s="1034">
        <v>46022</v>
      </c>
      <c r="V247" s="1035">
        <f>SUM(D247:G247)</f>
        <v>4</v>
      </c>
      <c r="W247" s="1035">
        <f>SUM(H247:N247)</f>
        <v>2</v>
      </c>
      <c r="X247" s="1700">
        <f t="shared" si="549"/>
        <v>0.5</v>
      </c>
      <c r="Y247" s="1241">
        <v>1</v>
      </c>
      <c r="Z247" s="1241">
        <v>1</v>
      </c>
      <c r="AA247" s="1241">
        <v>1</v>
      </c>
      <c r="AB247" s="1241">
        <v>1</v>
      </c>
      <c r="AC247" s="1241">
        <v>1</v>
      </c>
      <c r="AD247" s="1244">
        <f>373340000+109781796.223718</f>
        <v>483121796.22371799</v>
      </c>
      <c r="AE247" s="1244">
        <v>346420800</v>
      </c>
      <c r="AF247" s="1244">
        <v>438799680.00000006</v>
      </c>
      <c r="AG247" s="1244">
        <v>498845952.00000012</v>
      </c>
      <c r="AH247" s="1244">
        <f>373340000+109781796.136241</f>
        <v>483121796.13624102</v>
      </c>
      <c r="AI247" s="1244">
        <v>339232373.32999998</v>
      </c>
      <c r="AJ247" s="1244"/>
      <c r="AK247" s="1244"/>
      <c r="AL247" s="1254">
        <f t="shared" si="449"/>
        <v>0.99999999981893395</v>
      </c>
      <c r="AM247" s="1254">
        <f t="shared" si="449"/>
        <v>0.97924943689870814</v>
      </c>
      <c r="AN247" s="1254">
        <f t="shared" si="449"/>
        <v>0</v>
      </c>
      <c r="AO247" s="1254">
        <f t="shared" si="449"/>
        <v>0</v>
      </c>
      <c r="AP247" s="1250">
        <f>369340000+94149996.8076088</f>
        <v>463489996.80760878</v>
      </c>
      <c r="AQ247" s="1247">
        <v>325616082.64999998</v>
      </c>
      <c r="AR247" s="1568"/>
      <c r="AS247" s="1248"/>
      <c r="AT247" s="1249">
        <f t="shared" si="450"/>
        <v>0.95936469939969682</v>
      </c>
      <c r="AU247" s="1249">
        <f t="shared" si="450"/>
        <v>0.9399437985536665</v>
      </c>
      <c r="AV247" s="1249">
        <f t="shared" si="450"/>
        <v>0</v>
      </c>
      <c r="AW247" s="1249">
        <f t="shared" si="450"/>
        <v>0</v>
      </c>
      <c r="AX247" s="1044">
        <f t="shared" ref="AX247:BA247" si="556">+AH247-AP247</f>
        <v>19631799.328632236</v>
      </c>
      <c r="AY247" s="1044">
        <f t="shared" si="556"/>
        <v>13616290.680000007</v>
      </c>
      <c r="AZ247" s="1044">
        <f t="shared" si="556"/>
        <v>0</v>
      </c>
      <c r="BA247" s="1044">
        <f t="shared" si="556"/>
        <v>0</v>
      </c>
      <c r="BB247" s="1250"/>
      <c r="BC247" s="1250"/>
      <c r="BD247" s="1250"/>
      <c r="BE247" s="1250"/>
      <c r="BF247" s="1251">
        <f t="shared" si="451"/>
        <v>0</v>
      </c>
      <c r="BG247" s="1251">
        <f t="shared" si="451"/>
        <v>0</v>
      </c>
      <c r="BH247" s="1251" t="e">
        <f t="shared" si="451"/>
        <v>#DIV/0!</v>
      </c>
      <c r="BI247" s="1251" t="e">
        <f t="shared" si="451"/>
        <v>#DIV/0!</v>
      </c>
      <c r="BJ247" s="1250">
        <f t="shared" si="491"/>
        <v>1767188228.2237182</v>
      </c>
      <c r="BK247" s="1252">
        <f t="shared" si="492"/>
        <v>822354169.466241</v>
      </c>
      <c r="BL247" s="1253">
        <f t="shared" si="489"/>
        <v>0.46534611103245455</v>
      </c>
      <c r="BM247" s="1252">
        <f t="shared" si="490"/>
        <v>789106079.4576087</v>
      </c>
      <c r="BN247" s="1254">
        <f t="shared" si="471"/>
        <v>0.44653199181321807</v>
      </c>
      <c r="BO247" s="2106" t="s">
        <v>2653</v>
      </c>
      <c r="BP247" s="2178" t="s">
        <v>596</v>
      </c>
      <c r="BQ247" s="2178" t="s">
        <v>2193</v>
      </c>
      <c r="BR247" s="1256" t="s">
        <v>596</v>
      </c>
    </row>
    <row r="248" spans="1:70" ht="12.75" customHeight="1">
      <c r="A248" s="2118" t="s">
        <v>2758</v>
      </c>
      <c r="B248" s="2118"/>
      <c r="C248" s="2119"/>
      <c r="D248" s="2119"/>
      <c r="E248" s="2120"/>
      <c r="F248" s="2120"/>
      <c r="G248" s="2120"/>
      <c r="H248" s="2120"/>
      <c r="I248" s="2120"/>
      <c r="J248" s="2120"/>
      <c r="K248" s="2120"/>
      <c r="L248" s="2120"/>
      <c r="M248" s="2120"/>
      <c r="N248" s="2120"/>
      <c r="O248" s="2120"/>
      <c r="P248" s="2121">
        <f>+(P249*Z249)+(P259*Z259)+(P266*Z266)</f>
        <v>1</v>
      </c>
      <c r="Q248" s="2121">
        <f t="shared" ref="Q248:S248" si="557">+(Q249*AA249)+(Q259*AA259)+(Q266*AA266)</f>
        <v>0.99142857142857155</v>
      </c>
      <c r="R248" s="2121" t="e">
        <f t="shared" si="557"/>
        <v>#DIV/0!</v>
      </c>
      <c r="S248" s="2121" t="e">
        <f t="shared" si="557"/>
        <v>#DIV/0!</v>
      </c>
      <c r="T248" s="2122"/>
      <c r="U248" s="2118"/>
      <c r="V248" s="2123"/>
      <c r="W248" s="2124">
        <f t="shared" si="544"/>
        <v>0</v>
      </c>
      <c r="X248" s="2121">
        <f>+(X249*Y249)+(X259*Y259)+(X266*Y266)</f>
        <v>0.48752262931034485</v>
      </c>
      <c r="Y248" s="2125">
        <v>0.1</v>
      </c>
      <c r="Z248" s="2125">
        <v>0.1</v>
      </c>
      <c r="AA248" s="2125">
        <v>0.1</v>
      </c>
      <c r="AB248" s="2125">
        <v>0.1</v>
      </c>
      <c r="AC248" s="2125">
        <v>0.1</v>
      </c>
      <c r="AD248" s="2119">
        <f>+AD249+AD259+AD266</f>
        <v>724669753.8042587</v>
      </c>
      <c r="AE248" s="2119">
        <f>+AE249+AE259+AE266</f>
        <v>819031500</v>
      </c>
      <c r="AF248" s="2119">
        <f t="shared" ref="AF248:AK248" si="558">+AF249+AF259+AF266</f>
        <v>984913375</v>
      </c>
      <c r="AG248" s="2119">
        <f t="shared" si="558"/>
        <v>1005530350</v>
      </c>
      <c r="AH248" s="2119">
        <f t="shared" si="558"/>
        <v>662614313.67304587</v>
      </c>
      <c r="AI248" s="2119">
        <f t="shared" si="558"/>
        <v>744001197</v>
      </c>
      <c r="AJ248" s="2119">
        <f t="shared" si="558"/>
        <v>0</v>
      </c>
      <c r="AK248" s="2119">
        <f t="shared" si="558"/>
        <v>0</v>
      </c>
      <c r="AL248" s="2126">
        <f t="shared" si="449"/>
        <v>0.91436728274438972</v>
      </c>
      <c r="AM248" s="2126">
        <f t="shared" si="449"/>
        <v>0.90839143183137649</v>
      </c>
      <c r="AN248" s="2126">
        <f t="shared" si="449"/>
        <v>0</v>
      </c>
      <c r="AO248" s="2126">
        <f t="shared" si="449"/>
        <v>0</v>
      </c>
      <c r="AP248" s="2119">
        <f t="shared" ref="AP248:AS248" si="559">+AP249+AP259+AP266</f>
        <v>621975708.38153136</v>
      </c>
      <c r="AQ248" s="2127">
        <f t="shared" si="559"/>
        <v>728771074.44000006</v>
      </c>
      <c r="AR248" s="2119">
        <f t="shared" si="559"/>
        <v>0</v>
      </c>
      <c r="AS248" s="2119">
        <f t="shared" si="559"/>
        <v>0</v>
      </c>
      <c r="AT248" s="2126">
        <f t="shared" si="450"/>
        <v>0.85828848950350134</v>
      </c>
      <c r="AU248" s="2126">
        <f t="shared" si="450"/>
        <v>0.8897961487928121</v>
      </c>
      <c r="AV248" s="2126">
        <f t="shared" si="450"/>
        <v>0</v>
      </c>
      <c r="AW248" s="2126">
        <f t="shared" si="450"/>
        <v>0</v>
      </c>
      <c r="AX248" s="2119">
        <f t="shared" ref="AX248:BE248" si="560">+AX249+AX259+AX266</f>
        <v>40638605.291514531</v>
      </c>
      <c r="AY248" s="2119">
        <f t="shared" si="560"/>
        <v>15230122.560000002</v>
      </c>
      <c r="AZ248" s="2119">
        <f t="shared" si="560"/>
        <v>0</v>
      </c>
      <c r="BA248" s="2119">
        <f t="shared" si="560"/>
        <v>0</v>
      </c>
      <c r="BB248" s="2119">
        <f t="shared" si="560"/>
        <v>0</v>
      </c>
      <c r="BC248" s="2119">
        <f t="shared" si="560"/>
        <v>0</v>
      </c>
      <c r="BD248" s="2119">
        <f t="shared" si="560"/>
        <v>0</v>
      </c>
      <c r="BE248" s="2119">
        <f t="shared" si="560"/>
        <v>0</v>
      </c>
      <c r="BF248" s="2125">
        <f t="shared" si="451"/>
        <v>0</v>
      </c>
      <c r="BG248" s="2125">
        <f t="shared" si="451"/>
        <v>0</v>
      </c>
      <c r="BH248" s="2125" t="e">
        <f t="shared" si="451"/>
        <v>#DIV/0!</v>
      </c>
      <c r="BI248" s="2125" t="e">
        <f t="shared" si="451"/>
        <v>#DIV/0!</v>
      </c>
      <c r="BJ248" s="2119">
        <f t="shared" si="491"/>
        <v>3534144978.8042588</v>
      </c>
      <c r="BK248" s="2127">
        <f t="shared" si="492"/>
        <v>1406615510.6730459</v>
      </c>
      <c r="BL248" s="2128">
        <f t="shared" si="489"/>
        <v>0.39800730278726698</v>
      </c>
      <c r="BM248" s="2127">
        <f t="shared" si="490"/>
        <v>1350746782.8215313</v>
      </c>
      <c r="BN248" s="2129">
        <f t="shared" si="471"/>
        <v>0.38219903001221595</v>
      </c>
      <c r="BO248" s="2119"/>
      <c r="BP248" s="2130"/>
      <c r="BQ248" s="2130"/>
      <c r="BR248" s="2130"/>
    </row>
    <row r="249" spans="1:70" ht="12.75" customHeight="1" thickBot="1">
      <c r="A249" s="2081" t="s">
        <v>2759</v>
      </c>
      <c r="B249" s="2081"/>
      <c r="C249" s="2082"/>
      <c r="D249" s="2082"/>
      <c r="E249" s="2083"/>
      <c r="F249" s="2083"/>
      <c r="G249" s="2083"/>
      <c r="H249" s="2083"/>
      <c r="I249" s="2083"/>
      <c r="J249" s="2083"/>
      <c r="K249" s="2083"/>
      <c r="L249" s="2083"/>
      <c r="M249" s="2083"/>
      <c r="N249" s="2083"/>
      <c r="O249" s="2083"/>
      <c r="P249" s="2084">
        <f>+SUMPRODUCT(P250:P258,Z250:Z258)</f>
        <v>1</v>
      </c>
      <c r="Q249" s="2084">
        <f t="shared" ref="Q249:S249" si="561">+SUMPRODUCT(Q250:Q258,AA250:AA258)</f>
        <v>0.97142857142857131</v>
      </c>
      <c r="R249" s="2084" t="e">
        <f t="shared" si="561"/>
        <v>#DIV/0!</v>
      </c>
      <c r="S249" s="2084" t="e">
        <f t="shared" si="561"/>
        <v>#DIV/0!</v>
      </c>
      <c r="T249" s="2087"/>
      <c r="U249" s="2081"/>
      <c r="V249" s="2088"/>
      <c r="W249" s="2089">
        <f t="shared" si="544"/>
        <v>0</v>
      </c>
      <c r="X249" s="2084">
        <f>+SUMPRODUCT(X250:X258,Y250:Y258)</f>
        <v>0.43663793103448278</v>
      </c>
      <c r="Y249" s="2085">
        <v>0.3</v>
      </c>
      <c r="Z249" s="2085">
        <v>0.3</v>
      </c>
      <c r="AA249" s="2085">
        <v>0.3</v>
      </c>
      <c r="AB249" s="2085">
        <v>0.3</v>
      </c>
      <c r="AC249" s="2085">
        <v>0.3</v>
      </c>
      <c r="AD249" s="2082">
        <f>SUM(AD250:AD258)</f>
        <v>208342554.2187244</v>
      </c>
      <c r="AE249" s="2082">
        <f>SUM(AE250:AE258)</f>
        <v>271156500</v>
      </c>
      <c r="AF249" s="2082">
        <f t="shared" ref="AF249:AK249" si="562">SUM(AF250:AF258)</f>
        <v>328090875</v>
      </c>
      <c r="AG249" s="2082">
        <f t="shared" si="562"/>
        <v>296574125</v>
      </c>
      <c r="AH249" s="2082">
        <f t="shared" si="562"/>
        <v>208342554.18100071</v>
      </c>
      <c r="AI249" s="2082">
        <f t="shared" si="562"/>
        <v>270281733</v>
      </c>
      <c r="AJ249" s="2082">
        <f t="shared" si="562"/>
        <v>0</v>
      </c>
      <c r="AK249" s="2082">
        <f t="shared" si="562"/>
        <v>0</v>
      </c>
      <c r="AL249" s="2090">
        <f t="shared" si="449"/>
        <v>0.99999999981893428</v>
      </c>
      <c r="AM249" s="2090">
        <f t="shared" si="449"/>
        <v>0.99677394051036949</v>
      </c>
      <c r="AN249" s="2090">
        <f t="shared" si="449"/>
        <v>0</v>
      </c>
      <c r="AO249" s="2090">
        <f t="shared" si="449"/>
        <v>0</v>
      </c>
      <c r="AP249" s="2082">
        <f t="shared" ref="AP249:AS249" si="563">SUM(AP250:AP258)</f>
        <v>201011815.09719029</v>
      </c>
      <c r="AQ249" s="2091">
        <f t="shared" si="563"/>
        <v>266779669.16000003</v>
      </c>
      <c r="AR249" s="2082">
        <f t="shared" si="563"/>
        <v>0</v>
      </c>
      <c r="AS249" s="2082">
        <f t="shared" si="563"/>
        <v>0</v>
      </c>
      <c r="AT249" s="2090">
        <f t="shared" si="450"/>
        <v>0.9648140095573654</v>
      </c>
      <c r="AU249" s="2090">
        <f t="shared" si="450"/>
        <v>0.98385865417203733</v>
      </c>
      <c r="AV249" s="2090">
        <f t="shared" si="450"/>
        <v>0</v>
      </c>
      <c r="AW249" s="2090">
        <f t="shared" si="450"/>
        <v>0</v>
      </c>
      <c r="AX249" s="2082">
        <f t="shared" ref="AX249:BE249" si="564">SUM(AX250:AX258)</f>
        <v>7330739.0838104188</v>
      </c>
      <c r="AY249" s="2082">
        <f t="shared" si="564"/>
        <v>3502063.8399999887</v>
      </c>
      <c r="AZ249" s="2082">
        <f t="shared" si="564"/>
        <v>0</v>
      </c>
      <c r="BA249" s="2082">
        <f t="shared" si="564"/>
        <v>0</v>
      </c>
      <c r="BB249" s="2082">
        <f t="shared" si="564"/>
        <v>0</v>
      </c>
      <c r="BC249" s="2082">
        <f t="shared" si="564"/>
        <v>0</v>
      </c>
      <c r="BD249" s="2082">
        <f t="shared" si="564"/>
        <v>0</v>
      </c>
      <c r="BE249" s="2082">
        <f t="shared" si="564"/>
        <v>0</v>
      </c>
      <c r="BF249" s="2085">
        <f t="shared" si="451"/>
        <v>0</v>
      </c>
      <c r="BG249" s="2085">
        <f t="shared" si="451"/>
        <v>0</v>
      </c>
      <c r="BH249" s="2085" t="e">
        <f t="shared" si="451"/>
        <v>#DIV/0!</v>
      </c>
      <c r="BI249" s="2085" t="e">
        <f t="shared" si="451"/>
        <v>#DIV/0!</v>
      </c>
      <c r="BJ249" s="2082">
        <f t="shared" si="491"/>
        <v>1104164054.2187243</v>
      </c>
      <c r="BK249" s="2091">
        <f t="shared" si="492"/>
        <v>478624287.18100071</v>
      </c>
      <c r="BL249" s="2092">
        <f t="shared" si="489"/>
        <v>0.43347207813214128</v>
      </c>
      <c r="BM249" s="2091">
        <f t="shared" si="490"/>
        <v>467791484.25719035</v>
      </c>
      <c r="BN249" s="2093">
        <f t="shared" si="471"/>
        <v>0.42366121453590205</v>
      </c>
      <c r="BO249" s="2082"/>
      <c r="BP249" s="2201"/>
      <c r="BQ249" s="2094"/>
      <c r="BR249" s="2094"/>
    </row>
    <row r="250" spans="1:70" ht="12.75" customHeight="1" thickBot="1">
      <c r="A250" s="1851" t="s">
        <v>2760</v>
      </c>
      <c r="B250" s="1867" t="s">
        <v>2761</v>
      </c>
      <c r="C250" s="1025" t="s">
        <v>2181</v>
      </c>
      <c r="D250" s="1790">
        <v>1</v>
      </c>
      <c r="E250" s="1791">
        <v>1</v>
      </c>
      <c r="F250" s="1791">
        <v>1</v>
      </c>
      <c r="G250" s="1792">
        <v>1</v>
      </c>
      <c r="H250" s="1627">
        <v>1</v>
      </c>
      <c r="I250" s="1030">
        <v>1</v>
      </c>
      <c r="J250" s="1030"/>
      <c r="K250" s="1030"/>
      <c r="L250" s="1030"/>
      <c r="M250" s="1031"/>
      <c r="N250" s="1031"/>
      <c r="O250" s="1031"/>
      <c r="P250" s="1032">
        <f t="shared" ref="P250:S258" si="565">IF((H250+L250)/D250&gt;=100%,100%,(H250+L250)/D250)</f>
        <v>1</v>
      </c>
      <c r="Q250" s="1032">
        <f t="shared" si="565"/>
        <v>1</v>
      </c>
      <c r="R250" s="1032">
        <f t="shared" si="565"/>
        <v>0</v>
      </c>
      <c r="S250" s="1032">
        <f t="shared" si="565"/>
        <v>0</v>
      </c>
      <c r="T250" s="1702" t="s">
        <v>2762</v>
      </c>
      <c r="U250" s="1034">
        <v>46022</v>
      </c>
      <c r="V250" s="1035">
        <f t="shared" ref="V250:V258" si="566">SUM(D250:G250)</f>
        <v>4</v>
      </c>
      <c r="W250" s="1035">
        <f t="shared" ref="W250:W258" si="567">SUM(H250:N250)</f>
        <v>2</v>
      </c>
      <c r="X250" s="1279">
        <f t="shared" si="549"/>
        <v>0.5</v>
      </c>
      <c r="Y250" s="1037">
        <v>0.1875</v>
      </c>
      <c r="Z250" s="1037">
        <v>0.2175</v>
      </c>
      <c r="AA250" s="1037">
        <v>0.1875</v>
      </c>
      <c r="AB250" s="1037">
        <v>0.1875</v>
      </c>
      <c r="AC250" s="1037">
        <v>0.1875</v>
      </c>
      <c r="AD250" s="1137">
        <f>140000000/4+(47342554.2187244/4)</f>
        <v>46835638.5546811</v>
      </c>
      <c r="AE250" s="1137">
        <f>161156500/4</f>
        <v>40289125</v>
      </c>
      <c r="AF250" s="1137">
        <v>55772718.75</v>
      </c>
      <c r="AG250" s="1137">
        <v>61643531.25</v>
      </c>
      <c r="AH250" s="1137">
        <f>140000000/4+(47342554.1810007/4)</f>
        <v>46835638.545250177</v>
      </c>
      <c r="AI250" s="1137">
        <f>160773789/4</f>
        <v>40193447.25</v>
      </c>
      <c r="AJ250" s="1137"/>
      <c r="AK250" s="1137"/>
      <c r="AL250" s="1039">
        <f t="shared" si="449"/>
        <v>0.99999999979863785</v>
      </c>
      <c r="AM250" s="1039">
        <f t="shared" si="449"/>
        <v>0.99762522144623389</v>
      </c>
      <c r="AN250" s="1039">
        <f t="shared" si="449"/>
        <v>0</v>
      </c>
      <c r="AO250" s="1039">
        <f t="shared" si="449"/>
        <v>0</v>
      </c>
      <c r="AP250" s="1283">
        <f>(139410354/4)+(40601461.0971903/4)</f>
        <v>45002953.774297573</v>
      </c>
      <c r="AQ250" s="1041">
        <f>158511642.12/4</f>
        <v>39627910.530000001</v>
      </c>
      <c r="AR250" s="1552"/>
      <c r="AS250" s="1042"/>
      <c r="AT250" s="1043">
        <f t="shared" si="450"/>
        <v>0.96086986668829444</v>
      </c>
      <c r="AU250" s="1043">
        <f t="shared" si="450"/>
        <v>0.98358826432691204</v>
      </c>
      <c r="AV250" s="1043">
        <f t="shared" si="450"/>
        <v>0</v>
      </c>
      <c r="AW250" s="1043">
        <f t="shared" si="450"/>
        <v>0</v>
      </c>
      <c r="AX250" s="1044">
        <f t="shared" ref="AX250:BA258" si="568">+AH250-AP250</f>
        <v>1832684.7709526047</v>
      </c>
      <c r="AY250" s="1044">
        <f t="shared" si="568"/>
        <v>565536.71999999881</v>
      </c>
      <c r="AZ250" s="1044">
        <f t="shared" si="568"/>
        <v>0</v>
      </c>
      <c r="BA250" s="1044">
        <f t="shared" si="568"/>
        <v>0</v>
      </c>
      <c r="BB250" s="1283"/>
      <c r="BC250" s="1283"/>
      <c r="BD250" s="1283"/>
      <c r="BE250" s="1283"/>
      <c r="BF250" s="1045">
        <f t="shared" si="451"/>
        <v>0</v>
      </c>
      <c r="BG250" s="1045">
        <f t="shared" si="451"/>
        <v>0</v>
      </c>
      <c r="BH250" s="1045" t="e">
        <f t="shared" si="451"/>
        <v>#DIV/0!</v>
      </c>
      <c r="BI250" s="1045" t="e">
        <f t="shared" si="451"/>
        <v>#DIV/0!</v>
      </c>
      <c r="BJ250" s="1283">
        <f t="shared" si="491"/>
        <v>204541013.55468109</v>
      </c>
      <c r="BK250" s="1046">
        <f t="shared" si="492"/>
        <v>87029085.795250177</v>
      </c>
      <c r="BL250" s="1047">
        <f t="shared" si="489"/>
        <v>0.42548476847155253</v>
      </c>
      <c r="BM250" s="1046">
        <f t="shared" si="490"/>
        <v>84630864.304297566</v>
      </c>
      <c r="BN250" s="1048">
        <f t="shared" si="471"/>
        <v>0.41375987550620369</v>
      </c>
      <c r="BO250" s="2106" t="s">
        <v>2653</v>
      </c>
      <c r="BP250" s="2202" t="s">
        <v>2637</v>
      </c>
      <c r="BQ250" s="2182" t="s">
        <v>2193</v>
      </c>
      <c r="BR250" s="1146" t="s">
        <v>596</v>
      </c>
    </row>
    <row r="251" spans="1:70" ht="12.75" customHeight="1" thickBot="1">
      <c r="A251" s="1904" t="s">
        <v>2763</v>
      </c>
      <c r="B251" s="1869" t="s">
        <v>2761</v>
      </c>
      <c r="C251" s="1055" t="s">
        <v>2181</v>
      </c>
      <c r="D251" s="1870">
        <v>1</v>
      </c>
      <c r="E251" s="1871">
        <v>1</v>
      </c>
      <c r="F251" s="1871">
        <v>1</v>
      </c>
      <c r="G251" s="1872">
        <v>1</v>
      </c>
      <c r="H251" s="1659">
        <v>1</v>
      </c>
      <c r="I251" s="1060">
        <v>1</v>
      </c>
      <c r="J251" s="1060"/>
      <c r="K251" s="1060"/>
      <c r="L251" s="1060"/>
      <c r="M251" s="1061"/>
      <c r="N251" s="1061"/>
      <c r="O251" s="1061"/>
      <c r="P251" s="1062">
        <f t="shared" si="565"/>
        <v>1</v>
      </c>
      <c r="Q251" s="1062">
        <f t="shared" si="565"/>
        <v>1</v>
      </c>
      <c r="R251" s="1062">
        <f t="shared" si="565"/>
        <v>0</v>
      </c>
      <c r="S251" s="1062">
        <f t="shared" si="565"/>
        <v>0</v>
      </c>
      <c r="T251" s="1669" t="s">
        <v>2764</v>
      </c>
      <c r="U251" s="1034">
        <v>46022</v>
      </c>
      <c r="V251" s="1035">
        <f t="shared" si="566"/>
        <v>4</v>
      </c>
      <c r="W251" s="1035">
        <f t="shared" si="567"/>
        <v>2</v>
      </c>
      <c r="X251" s="1327">
        <f t="shared" si="549"/>
        <v>0.5</v>
      </c>
      <c r="Y251" s="1065">
        <v>0.1875</v>
      </c>
      <c r="Z251" s="1065">
        <v>0.2175</v>
      </c>
      <c r="AA251" s="1065">
        <v>0.1875</v>
      </c>
      <c r="AB251" s="1065">
        <v>0.1875</v>
      </c>
      <c r="AC251" s="1065">
        <v>0.1875</v>
      </c>
      <c r="AD251" s="1066">
        <f>140000000/4+(47342554.2187244/4)</f>
        <v>46835638.5546811</v>
      </c>
      <c r="AE251" s="1137">
        <f t="shared" ref="AE251:AE253" si="569">161156500/4</f>
        <v>40289125</v>
      </c>
      <c r="AF251" s="1137">
        <v>55772718.75</v>
      </c>
      <c r="AG251" s="1137">
        <v>61643531.25</v>
      </c>
      <c r="AH251" s="1137">
        <f>140000000/4+(47342554.1810007/4)</f>
        <v>46835638.545250177</v>
      </c>
      <c r="AI251" s="1137">
        <f t="shared" ref="AI251:AI253" si="570">160773789/4</f>
        <v>40193447.25</v>
      </c>
      <c r="AJ251" s="1137"/>
      <c r="AK251" s="1137"/>
      <c r="AL251" s="1173">
        <f t="shared" si="449"/>
        <v>0.99999999979863785</v>
      </c>
      <c r="AM251" s="1173">
        <f t="shared" si="449"/>
        <v>0.99762522144623389</v>
      </c>
      <c r="AN251" s="1173">
        <f t="shared" si="449"/>
        <v>0</v>
      </c>
      <c r="AO251" s="1173">
        <f t="shared" si="449"/>
        <v>0</v>
      </c>
      <c r="AP251" s="1283">
        <f>139410354/4+(40601461.0971903/4)</f>
        <v>45002953.774297573</v>
      </c>
      <c r="AQ251" s="1041">
        <f t="shared" ref="AQ251:AQ253" si="571">158511642.12/4</f>
        <v>39627910.530000001</v>
      </c>
      <c r="AR251" s="1552"/>
      <c r="AS251" s="1042"/>
      <c r="AT251" s="1043">
        <f t="shared" si="450"/>
        <v>0.96086986668829444</v>
      </c>
      <c r="AU251" s="1043">
        <f t="shared" si="450"/>
        <v>0.98358826432691204</v>
      </c>
      <c r="AV251" s="1043">
        <f t="shared" si="450"/>
        <v>0</v>
      </c>
      <c r="AW251" s="1043">
        <f t="shared" si="450"/>
        <v>0</v>
      </c>
      <c r="AX251" s="1044">
        <f t="shared" si="568"/>
        <v>1832684.7709526047</v>
      </c>
      <c r="AY251" s="1044">
        <f t="shared" si="568"/>
        <v>565536.71999999881</v>
      </c>
      <c r="AZ251" s="1044">
        <f t="shared" si="568"/>
        <v>0</v>
      </c>
      <c r="BA251" s="1044">
        <f t="shared" si="568"/>
        <v>0</v>
      </c>
      <c r="BB251" s="1283"/>
      <c r="BC251" s="1283"/>
      <c r="BD251" s="1283"/>
      <c r="BE251" s="1283"/>
      <c r="BF251" s="1045">
        <f t="shared" si="451"/>
        <v>0</v>
      </c>
      <c r="BG251" s="1045">
        <f t="shared" si="451"/>
        <v>0</v>
      </c>
      <c r="BH251" s="1045" t="e">
        <f t="shared" si="451"/>
        <v>#DIV/0!</v>
      </c>
      <c r="BI251" s="1045" t="e">
        <f t="shared" si="451"/>
        <v>#DIV/0!</v>
      </c>
      <c r="BJ251" s="1283">
        <f t="shared" si="491"/>
        <v>204541013.55468109</v>
      </c>
      <c r="BK251" s="1046">
        <f t="shared" si="492"/>
        <v>87029085.795250177</v>
      </c>
      <c r="BL251" s="1047">
        <f t="shared" si="489"/>
        <v>0.42548476847155253</v>
      </c>
      <c r="BM251" s="1046">
        <f t="shared" si="490"/>
        <v>84630864.304297566</v>
      </c>
      <c r="BN251" s="1048">
        <f t="shared" si="471"/>
        <v>0.41375987550620369</v>
      </c>
      <c r="BO251" s="2106" t="s">
        <v>2653</v>
      </c>
      <c r="BP251" s="2202" t="s">
        <v>2637</v>
      </c>
      <c r="BQ251" s="2182" t="s">
        <v>2193</v>
      </c>
      <c r="BR251" s="1146" t="s">
        <v>596</v>
      </c>
    </row>
    <row r="252" spans="1:70" ht="12.75" customHeight="1" thickBot="1">
      <c r="A252" s="1904" t="s">
        <v>2765</v>
      </c>
      <c r="B252" s="1869" t="s">
        <v>2761</v>
      </c>
      <c r="C252" s="1055" t="s">
        <v>2181</v>
      </c>
      <c r="D252" s="1870">
        <v>1</v>
      </c>
      <c r="E252" s="1871">
        <v>1</v>
      </c>
      <c r="F252" s="1871">
        <v>1</v>
      </c>
      <c r="G252" s="1872">
        <v>1</v>
      </c>
      <c r="H252" s="1659">
        <v>1</v>
      </c>
      <c r="I252" s="1060">
        <v>1</v>
      </c>
      <c r="J252" s="1060"/>
      <c r="K252" s="1060"/>
      <c r="L252" s="1060"/>
      <c r="M252" s="1061"/>
      <c r="N252" s="1061"/>
      <c r="O252" s="1061"/>
      <c r="P252" s="1062">
        <f t="shared" si="565"/>
        <v>1</v>
      </c>
      <c r="Q252" s="1062">
        <f t="shared" si="565"/>
        <v>1</v>
      </c>
      <c r="R252" s="1062">
        <f t="shared" si="565"/>
        <v>0</v>
      </c>
      <c r="S252" s="1062">
        <f t="shared" si="565"/>
        <v>0</v>
      </c>
      <c r="T252" s="1669" t="s">
        <v>2766</v>
      </c>
      <c r="U252" s="1034">
        <v>46022</v>
      </c>
      <c r="V252" s="1035">
        <f t="shared" si="566"/>
        <v>4</v>
      </c>
      <c r="W252" s="1035">
        <f t="shared" si="567"/>
        <v>2</v>
      </c>
      <c r="X252" s="1327">
        <f t="shared" si="549"/>
        <v>0.5</v>
      </c>
      <c r="Y252" s="1065">
        <v>0.1875</v>
      </c>
      <c r="Z252" s="1065">
        <v>0.2175</v>
      </c>
      <c r="AA252" s="1065">
        <v>0.1875</v>
      </c>
      <c r="AB252" s="1065">
        <v>0.1875</v>
      </c>
      <c r="AC252" s="1065">
        <v>0.1875</v>
      </c>
      <c r="AD252" s="1066">
        <f>140000000/4+(47342554.2187244/4)</f>
        <v>46835638.5546811</v>
      </c>
      <c r="AE252" s="1137">
        <f t="shared" si="569"/>
        <v>40289125</v>
      </c>
      <c r="AF252" s="1137">
        <v>55772718.75</v>
      </c>
      <c r="AG252" s="1137">
        <v>61643531.25</v>
      </c>
      <c r="AH252" s="1137">
        <f>140000000/4+(47342554.1810007/4)</f>
        <v>46835638.545250177</v>
      </c>
      <c r="AI252" s="1137">
        <f t="shared" si="570"/>
        <v>40193447.25</v>
      </c>
      <c r="AJ252" s="1137"/>
      <c r="AK252" s="1137"/>
      <c r="AL252" s="1173">
        <f t="shared" si="449"/>
        <v>0.99999999979863785</v>
      </c>
      <c r="AM252" s="1173">
        <f t="shared" si="449"/>
        <v>0.99762522144623389</v>
      </c>
      <c r="AN252" s="1173">
        <f t="shared" si="449"/>
        <v>0</v>
      </c>
      <c r="AO252" s="1173">
        <f t="shared" si="449"/>
        <v>0</v>
      </c>
      <c r="AP252" s="1283">
        <f>139410354/4+(40601461.0971903/4)</f>
        <v>45002953.774297573</v>
      </c>
      <c r="AQ252" s="1041">
        <f t="shared" si="571"/>
        <v>39627910.530000001</v>
      </c>
      <c r="AR252" s="1552"/>
      <c r="AS252" s="1042"/>
      <c r="AT252" s="1043">
        <f t="shared" si="450"/>
        <v>0.96086986668829444</v>
      </c>
      <c r="AU252" s="1043">
        <f t="shared" si="450"/>
        <v>0.98358826432691204</v>
      </c>
      <c r="AV252" s="1043">
        <f t="shared" si="450"/>
        <v>0</v>
      </c>
      <c r="AW252" s="1043">
        <f t="shared" si="450"/>
        <v>0</v>
      </c>
      <c r="AX252" s="1044">
        <f t="shared" si="568"/>
        <v>1832684.7709526047</v>
      </c>
      <c r="AY252" s="1044">
        <f t="shared" si="568"/>
        <v>565536.71999999881</v>
      </c>
      <c r="AZ252" s="1044">
        <f t="shared" si="568"/>
        <v>0</v>
      </c>
      <c r="BA252" s="1044">
        <f t="shared" si="568"/>
        <v>0</v>
      </c>
      <c r="BB252" s="1283"/>
      <c r="BC252" s="1283"/>
      <c r="BD252" s="1283"/>
      <c r="BE252" s="1283"/>
      <c r="BF252" s="1045">
        <f t="shared" si="451"/>
        <v>0</v>
      </c>
      <c r="BG252" s="1045">
        <f t="shared" si="451"/>
        <v>0</v>
      </c>
      <c r="BH252" s="1045" t="e">
        <f t="shared" si="451"/>
        <v>#DIV/0!</v>
      </c>
      <c r="BI252" s="1045" t="e">
        <f t="shared" si="451"/>
        <v>#DIV/0!</v>
      </c>
      <c r="BJ252" s="1283">
        <f t="shared" si="491"/>
        <v>204541013.55468109</v>
      </c>
      <c r="BK252" s="1046">
        <f t="shared" si="492"/>
        <v>87029085.795250177</v>
      </c>
      <c r="BL252" s="1047">
        <f t="shared" si="489"/>
        <v>0.42548476847155253</v>
      </c>
      <c r="BM252" s="1046">
        <f t="shared" si="490"/>
        <v>84630864.304297566</v>
      </c>
      <c r="BN252" s="1048">
        <f t="shared" si="471"/>
        <v>0.41375987550620369</v>
      </c>
      <c r="BO252" s="2106" t="s">
        <v>2653</v>
      </c>
      <c r="BP252" s="2202" t="s">
        <v>2637</v>
      </c>
      <c r="BQ252" s="2182" t="s">
        <v>2193</v>
      </c>
      <c r="BR252" s="1146" t="s">
        <v>596</v>
      </c>
    </row>
    <row r="253" spans="1:70" ht="12.75" customHeight="1" thickBot="1">
      <c r="A253" s="1904" t="s">
        <v>2767</v>
      </c>
      <c r="B253" s="1869" t="s">
        <v>2768</v>
      </c>
      <c r="C253" s="1554" t="s">
        <v>597</v>
      </c>
      <c r="D253" s="2203">
        <v>1</v>
      </c>
      <c r="E253" s="2204">
        <v>1</v>
      </c>
      <c r="F253" s="2204">
        <v>1</v>
      </c>
      <c r="G253" s="2205">
        <v>1</v>
      </c>
      <c r="H253" s="2206">
        <v>1</v>
      </c>
      <c r="I253" s="1514">
        <v>1</v>
      </c>
      <c r="J253" s="1060"/>
      <c r="K253" s="1060"/>
      <c r="L253" s="1060"/>
      <c r="M253" s="1061"/>
      <c r="N253" s="1061"/>
      <c r="O253" s="1061"/>
      <c r="P253" s="1062">
        <f t="shared" si="565"/>
        <v>1</v>
      </c>
      <c r="Q253" s="1062">
        <f t="shared" si="565"/>
        <v>1</v>
      </c>
      <c r="R253" s="1062">
        <f t="shared" si="565"/>
        <v>0</v>
      </c>
      <c r="S253" s="1062">
        <f t="shared" si="565"/>
        <v>0</v>
      </c>
      <c r="T253" s="1669" t="s">
        <v>2769</v>
      </c>
      <c r="U253" s="1034">
        <v>46022</v>
      </c>
      <c r="V253" s="1035">
        <f t="shared" si="566"/>
        <v>4</v>
      </c>
      <c r="W253" s="1035">
        <f t="shared" si="567"/>
        <v>2</v>
      </c>
      <c r="X253" s="1327">
        <f t="shared" si="549"/>
        <v>0.5</v>
      </c>
      <c r="Y253" s="1065">
        <v>0.1875</v>
      </c>
      <c r="Z253" s="1065">
        <v>0.2175</v>
      </c>
      <c r="AA253" s="1065">
        <v>0.1875</v>
      </c>
      <c r="AB253" s="1065">
        <v>0.1875</v>
      </c>
      <c r="AC253" s="1065">
        <v>0.1875</v>
      </c>
      <c r="AD253" s="1066">
        <f>140000000/4+(47342554.2187244/4)</f>
        <v>46835638.5546811</v>
      </c>
      <c r="AE253" s="1137">
        <f t="shared" si="569"/>
        <v>40289125</v>
      </c>
      <c r="AF253" s="1137">
        <v>55772718.75</v>
      </c>
      <c r="AG253" s="1137">
        <v>61643531.25</v>
      </c>
      <c r="AH253" s="1137">
        <f>140000000/4+(47342554.1810007/4)</f>
        <v>46835638.545250177</v>
      </c>
      <c r="AI253" s="1137">
        <f t="shared" si="570"/>
        <v>40193447.25</v>
      </c>
      <c r="AJ253" s="1137"/>
      <c r="AK253" s="1137"/>
      <c r="AL253" s="1173">
        <f t="shared" si="449"/>
        <v>0.99999999979863785</v>
      </c>
      <c r="AM253" s="1173">
        <f t="shared" si="449"/>
        <v>0.99762522144623389</v>
      </c>
      <c r="AN253" s="1173">
        <f t="shared" si="449"/>
        <v>0</v>
      </c>
      <c r="AO253" s="1173">
        <f t="shared" si="449"/>
        <v>0</v>
      </c>
      <c r="AP253" s="1283">
        <f>139410354/4+(40601461.0971903/4)</f>
        <v>45002953.774297573</v>
      </c>
      <c r="AQ253" s="1041">
        <f t="shared" si="571"/>
        <v>39627910.530000001</v>
      </c>
      <c r="AR253" s="1552"/>
      <c r="AS253" s="1042"/>
      <c r="AT253" s="1043">
        <f t="shared" si="450"/>
        <v>0.96086986668829444</v>
      </c>
      <c r="AU253" s="1043">
        <f t="shared" si="450"/>
        <v>0.98358826432691204</v>
      </c>
      <c r="AV253" s="1043">
        <f t="shared" si="450"/>
        <v>0</v>
      </c>
      <c r="AW253" s="1043">
        <f t="shared" si="450"/>
        <v>0</v>
      </c>
      <c r="AX253" s="1044">
        <f t="shared" si="568"/>
        <v>1832684.7709526047</v>
      </c>
      <c r="AY253" s="1044">
        <f t="shared" si="568"/>
        <v>565536.71999999881</v>
      </c>
      <c r="AZ253" s="1044">
        <f t="shared" si="568"/>
        <v>0</v>
      </c>
      <c r="BA253" s="1044">
        <f t="shared" si="568"/>
        <v>0</v>
      </c>
      <c r="BB253" s="1283"/>
      <c r="BC253" s="1283"/>
      <c r="BD253" s="1283"/>
      <c r="BE253" s="1283"/>
      <c r="BF253" s="1045">
        <f t="shared" si="451"/>
        <v>0</v>
      </c>
      <c r="BG253" s="1045">
        <f t="shared" si="451"/>
        <v>0</v>
      </c>
      <c r="BH253" s="1045" t="e">
        <f t="shared" si="451"/>
        <v>#DIV/0!</v>
      </c>
      <c r="BI253" s="1045" t="e">
        <f t="shared" si="451"/>
        <v>#DIV/0!</v>
      </c>
      <c r="BJ253" s="1283">
        <f t="shared" si="491"/>
        <v>204541013.55468109</v>
      </c>
      <c r="BK253" s="1046">
        <f t="shared" si="492"/>
        <v>87029085.795250177</v>
      </c>
      <c r="BL253" s="1047">
        <f t="shared" si="489"/>
        <v>0.42548476847155253</v>
      </c>
      <c r="BM253" s="1046">
        <f t="shared" si="490"/>
        <v>84630864.304297566</v>
      </c>
      <c r="BN253" s="1048">
        <f t="shared" si="471"/>
        <v>0.41375987550620369</v>
      </c>
      <c r="BO253" s="2106" t="s">
        <v>2653</v>
      </c>
      <c r="BP253" s="2202" t="s">
        <v>2637</v>
      </c>
      <c r="BQ253" s="2182" t="s">
        <v>2193</v>
      </c>
      <c r="BR253" s="1146" t="s">
        <v>596</v>
      </c>
    </row>
    <row r="254" spans="1:70" ht="12.75" customHeight="1" thickBot="1">
      <c r="A254" s="1965" t="s">
        <v>2770</v>
      </c>
      <c r="B254" s="1869" t="s">
        <v>2771</v>
      </c>
      <c r="C254" s="1889" t="s">
        <v>597</v>
      </c>
      <c r="D254" s="2207">
        <v>0</v>
      </c>
      <c r="E254" s="2204">
        <v>0.5</v>
      </c>
      <c r="F254" s="2204">
        <v>0.5</v>
      </c>
      <c r="G254" s="2208">
        <v>0</v>
      </c>
      <c r="H254" s="1659"/>
      <c r="I254" s="1514">
        <v>0.5</v>
      </c>
      <c r="J254" s="1060"/>
      <c r="K254" s="1060"/>
      <c r="L254" s="1060"/>
      <c r="M254" s="1061"/>
      <c r="N254" s="1061"/>
      <c r="O254" s="1061"/>
      <c r="P254" s="1062"/>
      <c r="Q254" s="1062">
        <f t="shared" si="565"/>
        <v>1</v>
      </c>
      <c r="R254" s="1062">
        <f t="shared" si="565"/>
        <v>0</v>
      </c>
      <c r="S254" s="1062" t="e">
        <f t="shared" si="565"/>
        <v>#DIV/0!</v>
      </c>
      <c r="T254" s="1136" t="s">
        <v>2772</v>
      </c>
      <c r="U254" s="1034">
        <v>46022</v>
      </c>
      <c r="V254" s="1035">
        <f t="shared" si="566"/>
        <v>1</v>
      </c>
      <c r="W254" s="1035">
        <f t="shared" si="567"/>
        <v>0.5</v>
      </c>
      <c r="X254" s="1327">
        <f t="shared" si="549"/>
        <v>0.5</v>
      </c>
      <c r="Y254" s="1065">
        <v>2.5000000000000001E-2</v>
      </c>
      <c r="Z254" s="1065">
        <v>0</v>
      </c>
      <c r="AA254" s="1065">
        <v>7.4999999999999997E-2</v>
      </c>
      <c r="AB254" s="1065">
        <v>7.4999999999999997E-2</v>
      </c>
      <c r="AC254" s="1065">
        <v>7.4999999999999997E-2</v>
      </c>
      <c r="AD254" s="1066">
        <v>0</v>
      </c>
      <c r="AE254" s="1066">
        <v>18000000</v>
      </c>
      <c r="AF254" s="1066">
        <v>20000000</v>
      </c>
      <c r="AG254" s="1066">
        <v>0</v>
      </c>
      <c r="AH254" s="1066">
        <v>0</v>
      </c>
      <c r="AI254" s="1066">
        <v>17901589</v>
      </c>
      <c r="AJ254" s="1066"/>
      <c r="AK254" s="1066"/>
      <c r="AL254" s="1112" t="e">
        <f t="shared" si="449"/>
        <v>#DIV/0!</v>
      </c>
      <c r="AM254" s="1112">
        <f t="shared" si="449"/>
        <v>0.99453272222222222</v>
      </c>
      <c r="AN254" s="1112">
        <f t="shared" si="449"/>
        <v>0</v>
      </c>
      <c r="AO254" s="1112" t="e">
        <f t="shared" si="449"/>
        <v>#DIV/0!</v>
      </c>
      <c r="AP254" s="1070">
        <v>0</v>
      </c>
      <c r="AQ254" s="1068">
        <v>17684095</v>
      </c>
      <c r="AR254" s="1560"/>
      <c r="AS254" s="1069"/>
      <c r="AT254" s="1140" t="e">
        <f t="shared" si="450"/>
        <v>#DIV/0!</v>
      </c>
      <c r="AU254" s="1140">
        <f t="shared" si="450"/>
        <v>0.98244972222222227</v>
      </c>
      <c r="AV254" s="1140">
        <f t="shared" si="450"/>
        <v>0</v>
      </c>
      <c r="AW254" s="1140" t="e">
        <f t="shared" si="450"/>
        <v>#DIV/0!</v>
      </c>
      <c r="AX254" s="1044">
        <f t="shared" si="568"/>
        <v>0</v>
      </c>
      <c r="AY254" s="1044">
        <f t="shared" si="568"/>
        <v>217494</v>
      </c>
      <c r="AZ254" s="1044">
        <f t="shared" si="568"/>
        <v>0</v>
      </c>
      <c r="BA254" s="1044">
        <f t="shared" si="568"/>
        <v>0</v>
      </c>
      <c r="BB254" s="1070"/>
      <c r="BC254" s="1070"/>
      <c r="BD254" s="1070"/>
      <c r="BE254" s="1070"/>
      <c r="BF254" s="1071" t="e">
        <f t="shared" si="451"/>
        <v>#DIV/0!</v>
      </c>
      <c r="BG254" s="1071">
        <f t="shared" si="451"/>
        <v>0</v>
      </c>
      <c r="BH254" s="1071" t="e">
        <f t="shared" si="451"/>
        <v>#DIV/0!</v>
      </c>
      <c r="BI254" s="1071" t="e">
        <f t="shared" si="451"/>
        <v>#DIV/0!</v>
      </c>
      <c r="BJ254" s="1070">
        <f t="shared" si="491"/>
        <v>38000000</v>
      </c>
      <c r="BK254" s="1072">
        <f t="shared" si="492"/>
        <v>17901589</v>
      </c>
      <c r="BL254" s="1073">
        <f t="shared" si="489"/>
        <v>0.47109444736842104</v>
      </c>
      <c r="BM254" s="1072">
        <f t="shared" si="490"/>
        <v>17684095</v>
      </c>
      <c r="BN254" s="1074">
        <f t="shared" si="471"/>
        <v>0.46537092105263156</v>
      </c>
      <c r="BO254" s="1075"/>
      <c r="BP254" s="2202" t="s">
        <v>2637</v>
      </c>
      <c r="BQ254" s="2188" t="s">
        <v>2193</v>
      </c>
      <c r="BR254" s="1083" t="s">
        <v>596</v>
      </c>
    </row>
    <row r="255" spans="1:70" ht="12.75" customHeight="1" thickBot="1">
      <c r="A255" s="1965" t="s">
        <v>2773</v>
      </c>
      <c r="B255" s="1905" t="s">
        <v>2774</v>
      </c>
      <c r="C255" s="1299" t="s">
        <v>2181</v>
      </c>
      <c r="D255" s="1870">
        <v>0</v>
      </c>
      <c r="E255" s="1871">
        <v>0</v>
      </c>
      <c r="F255" s="1871">
        <v>1</v>
      </c>
      <c r="G255" s="1872">
        <v>1</v>
      </c>
      <c r="H255" s="1659"/>
      <c r="I255" s="1060"/>
      <c r="J255" s="1060"/>
      <c r="K255" s="1060"/>
      <c r="L255" s="1060"/>
      <c r="M255" s="1061"/>
      <c r="N255" s="1061"/>
      <c r="O255" s="1061"/>
      <c r="P255" s="1062"/>
      <c r="Q255" s="1062"/>
      <c r="R255" s="1062">
        <f t="shared" si="565"/>
        <v>0</v>
      </c>
      <c r="S255" s="1062">
        <f t="shared" si="565"/>
        <v>0</v>
      </c>
      <c r="T255" s="1793"/>
      <c r="U255" s="1034">
        <v>46022</v>
      </c>
      <c r="V255" s="1035">
        <f t="shared" si="566"/>
        <v>2</v>
      </c>
      <c r="W255" s="1035">
        <f t="shared" si="567"/>
        <v>0</v>
      </c>
      <c r="X255" s="1327">
        <f t="shared" si="549"/>
        <v>0</v>
      </c>
      <c r="Y255" s="1065">
        <v>0.05</v>
      </c>
      <c r="Z255" s="1065">
        <v>0</v>
      </c>
      <c r="AA255" s="1065">
        <v>0</v>
      </c>
      <c r="AB255" s="1065">
        <v>0</v>
      </c>
      <c r="AC255" s="1065">
        <v>0</v>
      </c>
      <c r="AD255" s="1066">
        <v>0</v>
      </c>
      <c r="AE255" s="1066">
        <v>0</v>
      </c>
      <c r="AF255" s="1066">
        <v>20000000</v>
      </c>
      <c r="AG255" s="1066">
        <v>22000000</v>
      </c>
      <c r="AH255" s="1066">
        <v>0</v>
      </c>
      <c r="AI255" s="1066"/>
      <c r="AJ255" s="1066"/>
      <c r="AK255" s="1066"/>
      <c r="AL255" s="1112" t="e">
        <f t="shared" si="449"/>
        <v>#DIV/0!</v>
      </c>
      <c r="AM255" s="1112" t="e">
        <f t="shared" si="449"/>
        <v>#DIV/0!</v>
      </c>
      <c r="AN255" s="1112">
        <f t="shared" si="449"/>
        <v>0</v>
      </c>
      <c r="AO255" s="1112">
        <f t="shared" si="449"/>
        <v>0</v>
      </c>
      <c r="AP255" s="1070">
        <v>0</v>
      </c>
      <c r="AQ255" s="1068"/>
      <c r="AR255" s="1560"/>
      <c r="AS255" s="1069"/>
      <c r="AT255" s="1140" t="e">
        <f t="shared" si="450"/>
        <v>#DIV/0!</v>
      </c>
      <c r="AU255" s="1140" t="e">
        <f t="shared" si="450"/>
        <v>#DIV/0!</v>
      </c>
      <c r="AV255" s="1140">
        <f t="shared" si="450"/>
        <v>0</v>
      </c>
      <c r="AW255" s="1140">
        <f t="shared" si="450"/>
        <v>0</v>
      </c>
      <c r="AX255" s="1044">
        <f t="shared" si="568"/>
        <v>0</v>
      </c>
      <c r="AY255" s="1044">
        <f t="shared" si="568"/>
        <v>0</v>
      </c>
      <c r="AZ255" s="1044">
        <f t="shared" si="568"/>
        <v>0</v>
      </c>
      <c r="BA255" s="1044">
        <f t="shared" si="568"/>
        <v>0</v>
      </c>
      <c r="BB255" s="1070"/>
      <c r="BC255" s="1070"/>
      <c r="BD255" s="1070"/>
      <c r="BE255" s="1070"/>
      <c r="BF255" s="1071" t="e">
        <f t="shared" si="451"/>
        <v>#DIV/0!</v>
      </c>
      <c r="BG255" s="1071" t="e">
        <f t="shared" si="451"/>
        <v>#DIV/0!</v>
      </c>
      <c r="BH255" s="1071" t="e">
        <f t="shared" si="451"/>
        <v>#DIV/0!</v>
      </c>
      <c r="BI255" s="1071" t="e">
        <f t="shared" si="451"/>
        <v>#DIV/0!</v>
      </c>
      <c r="BJ255" s="1070">
        <f t="shared" si="491"/>
        <v>42000000</v>
      </c>
      <c r="BK255" s="1072">
        <f t="shared" si="492"/>
        <v>0</v>
      </c>
      <c r="BL255" s="1073">
        <f t="shared" si="489"/>
        <v>0</v>
      </c>
      <c r="BM255" s="1072">
        <f t="shared" si="490"/>
        <v>0</v>
      </c>
      <c r="BN255" s="1074">
        <f t="shared" si="471"/>
        <v>0</v>
      </c>
      <c r="BO255" s="1075"/>
      <c r="BP255" s="2202" t="s">
        <v>2637</v>
      </c>
      <c r="BQ255" s="2188" t="s">
        <v>2193</v>
      </c>
      <c r="BR255" s="1421" t="s">
        <v>2478</v>
      </c>
    </row>
    <row r="256" spans="1:70" ht="12.75" customHeight="1" thickBot="1">
      <c r="A256" s="1965" t="s">
        <v>2775</v>
      </c>
      <c r="B256" s="1905" t="s">
        <v>2776</v>
      </c>
      <c r="C256" s="1554" t="s">
        <v>597</v>
      </c>
      <c r="D256" s="2209">
        <v>0.2</v>
      </c>
      <c r="E256" s="2210">
        <v>0.7</v>
      </c>
      <c r="F256" s="2210">
        <v>1</v>
      </c>
      <c r="G256" s="2211">
        <v>1</v>
      </c>
      <c r="H256" s="1893">
        <v>0.2</v>
      </c>
      <c r="I256" s="1514">
        <v>0.5</v>
      </c>
      <c r="J256" s="1060"/>
      <c r="K256" s="1060"/>
      <c r="L256" s="1060"/>
      <c r="M256" s="1061"/>
      <c r="N256" s="1061"/>
      <c r="O256" s="1061"/>
      <c r="P256" s="1062">
        <f t="shared" si="565"/>
        <v>1</v>
      </c>
      <c r="Q256" s="1062">
        <f t="shared" si="565"/>
        <v>0.7142857142857143</v>
      </c>
      <c r="R256" s="1062">
        <f t="shared" si="565"/>
        <v>0</v>
      </c>
      <c r="S256" s="1062">
        <f t="shared" si="565"/>
        <v>0</v>
      </c>
      <c r="T256" s="1669" t="s">
        <v>2777</v>
      </c>
      <c r="U256" s="1034">
        <v>46022</v>
      </c>
      <c r="V256" s="1035">
        <f t="shared" si="566"/>
        <v>2.9</v>
      </c>
      <c r="W256" s="1035">
        <f t="shared" si="567"/>
        <v>0.7</v>
      </c>
      <c r="X256" s="1327">
        <f t="shared" si="549"/>
        <v>0.24137931034482757</v>
      </c>
      <c r="Y256" s="1065">
        <v>0.1</v>
      </c>
      <c r="Z256" s="1065">
        <v>0.13</v>
      </c>
      <c r="AA256" s="1065">
        <v>0.1</v>
      </c>
      <c r="AB256" s="1065">
        <v>0.1</v>
      </c>
      <c r="AC256" s="1065">
        <v>0.1</v>
      </c>
      <c r="AD256" s="1066">
        <v>21000000</v>
      </c>
      <c r="AE256" s="1066">
        <f>92000000/2</f>
        <v>46000000</v>
      </c>
      <c r="AF256" s="1066">
        <v>40000000</v>
      </c>
      <c r="AG256" s="1066">
        <v>0</v>
      </c>
      <c r="AH256" s="1066">
        <v>21000000</v>
      </c>
      <c r="AI256" s="1066">
        <f>91606355/2</f>
        <v>45803177.5</v>
      </c>
      <c r="AJ256" s="1066"/>
      <c r="AK256" s="1066"/>
      <c r="AL256" s="1074">
        <f t="shared" si="449"/>
        <v>1</v>
      </c>
      <c r="AM256" s="1074">
        <f t="shared" si="449"/>
        <v>0.99572125</v>
      </c>
      <c r="AN256" s="1074">
        <f t="shared" si="449"/>
        <v>0</v>
      </c>
      <c r="AO256" s="1074" t="e">
        <f t="shared" si="449"/>
        <v>#DIV/0!</v>
      </c>
      <c r="AP256" s="1070">
        <v>21000000</v>
      </c>
      <c r="AQ256" s="1068">
        <f>90583932.04/2</f>
        <v>45291966.020000003</v>
      </c>
      <c r="AR256" s="1560"/>
      <c r="AS256" s="1069"/>
      <c r="AT256" s="1140">
        <f t="shared" si="450"/>
        <v>1</v>
      </c>
      <c r="AU256" s="1140">
        <f t="shared" si="450"/>
        <v>0.98460795695652181</v>
      </c>
      <c r="AV256" s="1140">
        <f t="shared" si="450"/>
        <v>0</v>
      </c>
      <c r="AW256" s="1140" t="e">
        <f t="shared" si="450"/>
        <v>#DIV/0!</v>
      </c>
      <c r="AX256" s="1044">
        <f t="shared" si="568"/>
        <v>0</v>
      </c>
      <c r="AY256" s="1044">
        <f t="shared" si="568"/>
        <v>511211.47999999672</v>
      </c>
      <c r="AZ256" s="1044">
        <f t="shared" si="568"/>
        <v>0</v>
      </c>
      <c r="BA256" s="1044">
        <f t="shared" si="568"/>
        <v>0</v>
      </c>
      <c r="BB256" s="1070"/>
      <c r="BC256" s="1070"/>
      <c r="BD256" s="1070"/>
      <c r="BE256" s="1070"/>
      <c r="BF256" s="1071" t="e">
        <f t="shared" si="451"/>
        <v>#DIV/0!</v>
      </c>
      <c r="BG256" s="1071">
        <f t="shared" si="451"/>
        <v>0</v>
      </c>
      <c r="BH256" s="1071" t="e">
        <f t="shared" si="451"/>
        <v>#DIV/0!</v>
      </c>
      <c r="BI256" s="1071" t="e">
        <f t="shared" si="451"/>
        <v>#DIV/0!</v>
      </c>
      <c r="BJ256" s="1070">
        <f t="shared" si="491"/>
        <v>107000000</v>
      </c>
      <c r="BK256" s="1072">
        <f t="shared" si="492"/>
        <v>66803177.5</v>
      </c>
      <c r="BL256" s="1073">
        <f t="shared" si="489"/>
        <v>0.62432876168224294</v>
      </c>
      <c r="BM256" s="1072">
        <f t="shared" si="490"/>
        <v>66291966.020000003</v>
      </c>
      <c r="BN256" s="1074">
        <f t="shared" si="471"/>
        <v>0.61955108429906547</v>
      </c>
      <c r="BO256" s="1075"/>
      <c r="BP256" s="2202" t="s">
        <v>2637</v>
      </c>
      <c r="BQ256" s="2188" t="s">
        <v>2193</v>
      </c>
      <c r="BR256" s="2212" t="s">
        <v>596</v>
      </c>
    </row>
    <row r="257" spans="1:70" ht="12.75" customHeight="1" thickBot="1">
      <c r="A257" s="1965" t="s">
        <v>2778</v>
      </c>
      <c r="B257" s="1869" t="s">
        <v>2779</v>
      </c>
      <c r="C257" s="1299" t="s">
        <v>2181</v>
      </c>
      <c r="D257" s="2213">
        <v>0</v>
      </c>
      <c r="E257" s="2214">
        <v>1</v>
      </c>
      <c r="F257" s="2214">
        <v>0</v>
      </c>
      <c r="G257" s="2215">
        <v>0</v>
      </c>
      <c r="H257" s="1659"/>
      <c r="I257" s="1060">
        <v>1</v>
      </c>
      <c r="J257" s="1060"/>
      <c r="K257" s="1060"/>
      <c r="L257" s="1060"/>
      <c r="M257" s="1061"/>
      <c r="N257" s="1061"/>
      <c r="O257" s="1061"/>
      <c r="P257" s="1062"/>
      <c r="Q257" s="1062">
        <f t="shared" si="565"/>
        <v>1</v>
      </c>
      <c r="R257" s="1062" t="e">
        <f t="shared" si="565"/>
        <v>#DIV/0!</v>
      </c>
      <c r="S257" s="1062" t="e">
        <f t="shared" si="565"/>
        <v>#DIV/0!</v>
      </c>
      <c r="T257" s="1136" t="s">
        <v>2780</v>
      </c>
      <c r="U257" s="1034">
        <v>46022</v>
      </c>
      <c r="V257" s="1035">
        <f t="shared" si="566"/>
        <v>1</v>
      </c>
      <c r="W257" s="1035">
        <f t="shared" si="567"/>
        <v>1</v>
      </c>
      <c r="X257" s="1327">
        <f t="shared" si="549"/>
        <v>1</v>
      </c>
      <c r="Y257" s="1065">
        <v>2.5000000000000001E-2</v>
      </c>
      <c r="Z257" s="1065">
        <v>0</v>
      </c>
      <c r="AA257" s="1065">
        <v>7.4999999999999997E-2</v>
      </c>
      <c r="AB257" s="1065">
        <v>7.4999999999999997E-2</v>
      </c>
      <c r="AC257" s="1065">
        <v>7.4999999999999997E-2</v>
      </c>
      <c r="AD257" s="1066">
        <v>0</v>
      </c>
      <c r="AE257" s="1066">
        <f>92000000/2</f>
        <v>46000000</v>
      </c>
      <c r="AF257" s="1066">
        <v>0</v>
      </c>
      <c r="AG257" s="1066">
        <v>0</v>
      </c>
      <c r="AH257" s="1066">
        <v>0</v>
      </c>
      <c r="AI257" s="1066">
        <f>91606355/2</f>
        <v>45803177.5</v>
      </c>
      <c r="AJ257" s="1066"/>
      <c r="AK257" s="1066"/>
      <c r="AL257" s="1112" t="e">
        <f t="shared" si="449"/>
        <v>#DIV/0!</v>
      </c>
      <c r="AM257" s="1112">
        <f t="shared" si="449"/>
        <v>0.99572125</v>
      </c>
      <c r="AN257" s="1112" t="e">
        <f t="shared" si="449"/>
        <v>#DIV/0!</v>
      </c>
      <c r="AO257" s="1112" t="e">
        <f t="shared" si="449"/>
        <v>#DIV/0!</v>
      </c>
      <c r="AP257" s="1070">
        <v>0</v>
      </c>
      <c r="AQ257" s="1068">
        <f>90583932.04/2</f>
        <v>45291966.020000003</v>
      </c>
      <c r="AR257" s="1560"/>
      <c r="AS257" s="1069"/>
      <c r="AT257" s="1140" t="e">
        <f t="shared" si="450"/>
        <v>#DIV/0!</v>
      </c>
      <c r="AU257" s="1140">
        <f t="shared" si="450"/>
        <v>0.98460795695652181</v>
      </c>
      <c r="AV257" s="1140" t="e">
        <f t="shared" si="450"/>
        <v>#DIV/0!</v>
      </c>
      <c r="AW257" s="1140" t="e">
        <f t="shared" si="450"/>
        <v>#DIV/0!</v>
      </c>
      <c r="AX257" s="1044">
        <f t="shared" si="568"/>
        <v>0</v>
      </c>
      <c r="AY257" s="1044">
        <f t="shared" si="568"/>
        <v>511211.47999999672</v>
      </c>
      <c r="AZ257" s="1044">
        <f t="shared" si="568"/>
        <v>0</v>
      </c>
      <c r="BA257" s="1044">
        <f t="shared" si="568"/>
        <v>0</v>
      </c>
      <c r="BB257" s="1070"/>
      <c r="BC257" s="1070"/>
      <c r="BD257" s="1070"/>
      <c r="BE257" s="1070"/>
      <c r="BF257" s="1071" t="e">
        <f t="shared" si="451"/>
        <v>#DIV/0!</v>
      </c>
      <c r="BG257" s="1071">
        <f t="shared" si="451"/>
        <v>0</v>
      </c>
      <c r="BH257" s="1071" t="e">
        <f t="shared" si="451"/>
        <v>#DIV/0!</v>
      </c>
      <c r="BI257" s="1071" t="e">
        <f t="shared" si="451"/>
        <v>#DIV/0!</v>
      </c>
      <c r="BJ257" s="1070">
        <f t="shared" si="491"/>
        <v>46000000</v>
      </c>
      <c r="BK257" s="1072">
        <f t="shared" si="492"/>
        <v>45803177.5</v>
      </c>
      <c r="BL257" s="1073">
        <f t="shared" si="489"/>
        <v>0.99572125</v>
      </c>
      <c r="BM257" s="1072">
        <f t="shared" si="490"/>
        <v>45291966.020000003</v>
      </c>
      <c r="BN257" s="1074">
        <f t="shared" si="471"/>
        <v>0.98460795695652181</v>
      </c>
      <c r="BO257" s="1075"/>
      <c r="BP257" s="2202" t="s">
        <v>2637</v>
      </c>
      <c r="BQ257" s="2188" t="s">
        <v>2193</v>
      </c>
      <c r="BR257" s="2212" t="s">
        <v>596</v>
      </c>
    </row>
    <row r="258" spans="1:70" ht="12.75" customHeight="1" thickBot="1">
      <c r="A258" s="1881" t="s">
        <v>2781</v>
      </c>
      <c r="B258" s="1796" t="s">
        <v>2774</v>
      </c>
      <c r="C258" s="1152" t="s">
        <v>2181</v>
      </c>
      <c r="D258" s="1858">
        <v>0</v>
      </c>
      <c r="E258" s="1859">
        <v>0</v>
      </c>
      <c r="F258" s="1859">
        <v>1</v>
      </c>
      <c r="G258" s="1860">
        <v>1</v>
      </c>
      <c r="H258" s="1634"/>
      <c r="I258" s="1182"/>
      <c r="J258" s="1182"/>
      <c r="K258" s="1182"/>
      <c r="L258" s="1182"/>
      <c r="M258" s="1101"/>
      <c r="N258" s="1101"/>
      <c r="O258" s="1101"/>
      <c r="P258" s="1102"/>
      <c r="Q258" s="1102"/>
      <c r="R258" s="1102">
        <f t="shared" si="565"/>
        <v>0</v>
      </c>
      <c r="S258" s="1102">
        <f t="shared" si="565"/>
        <v>0</v>
      </c>
      <c r="T258" s="2152"/>
      <c r="U258" s="1034">
        <v>46022</v>
      </c>
      <c r="V258" s="1035">
        <f t="shared" si="566"/>
        <v>2</v>
      </c>
      <c r="W258" s="1035">
        <f t="shared" si="567"/>
        <v>0</v>
      </c>
      <c r="X258" s="1291">
        <f t="shared" si="549"/>
        <v>0</v>
      </c>
      <c r="Y258" s="1104">
        <v>0.05</v>
      </c>
      <c r="Z258" s="1104">
        <v>0</v>
      </c>
      <c r="AA258" s="1104">
        <v>0</v>
      </c>
      <c r="AB258" s="1104">
        <v>0</v>
      </c>
      <c r="AC258" s="1104">
        <v>0</v>
      </c>
      <c r="AD258" s="1106">
        <v>0</v>
      </c>
      <c r="AE258" s="1106">
        <v>0</v>
      </c>
      <c r="AF258" s="1106">
        <v>25000000</v>
      </c>
      <c r="AG258" s="1106">
        <v>28000000</v>
      </c>
      <c r="AH258" s="1106">
        <v>0</v>
      </c>
      <c r="AI258" s="1106"/>
      <c r="AJ258" s="1106"/>
      <c r="AK258" s="1106"/>
      <c r="AL258" s="1112" t="e">
        <f t="shared" si="449"/>
        <v>#DIV/0!</v>
      </c>
      <c r="AM258" s="1112" t="e">
        <f t="shared" si="449"/>
        <v>#DIV/0!</v>
      </c>
      <c r="AN258" s="1112">
        <f t="shared" si="449"/>
        <v>0</v>
      </c>
      <c r="AO258" s="1112">
        <f t="shared" si="449"/>
        <v>0</v>
      </c>
      <c r="AP258" s="1107">
        <v>0</v>
      </c>
      <c r="AQ258" s="1187"/>
      <c r="AR258" s="1567"/>
      <c r="AS258" s="1188"/>
      <c r="AT258" s="1140" t="e">
        <f t="shared" si="450"/>
        <v>#DIV/0!</v>
      </c>
      <c r="AU258" s="1140" t="e">
        <f t="shared" si="450"/>
        <v>#DIV/0!</v>
      </c>
      <c r="AV258" s="1140">
        <f t="shared" si="450"/>
        <v>0</v>
      </c>
      <c r="AW258" s="1140">
        <f t="shared" si="450"/>
        <v>0</v>
      </c>
      <c r="AX258" s="1044">
        <f t="shared" si="568"/>
        <v>0</v>
      </c>
      <c r="AY258" s="1044">
        <f t="shared" si="568"/>
        <v>0</v>
      </c>
      <c r="AZ258" s="1044">
        <f t="shared" si="568"/>
        <v>0</v>
      </c>
      <c r="BA258" s="1044">
        <f t="shared" si="568"/>
        <v>0</v>
      </c>
      <c r="BB258" s="1107"/>
      <c r="BC258" s="1107"/>
      <c r="BD258" s="1107"/>
      <c r="BE258" s="1107"/>
      <c r="BF258" s="1190" t="e">
        <f t="shared" si="451"/>
        <v>#DIV/0!</v>
      </c>
      <c r="BG258" s="1190" t="e">
        <f t="shared" si="451"/>
        <v>#DIV/0!</v>
      </c>
      <c r="BH258" s="1190" t="e">
        <f t="shared" si="451"/>
        <v>#DIV/0!</v>
      </c>
      <c r="BI258" s="1190" t="e">
        <f t="shared" si="451"/>
        <v>#DIV/0!</v>
      </c>
      <c r="BJ258" s="1107">
        <f t="shared" si="491"/>
        <v>53000000</v>
      </c>
      <c r="BK258" s="1110">
        <f t="shared" si="492"/>
        <v>0</v>
      </c>
      <c r="BL258" s="1111">
        <f t="shared" si="489"/>
        <v>0</v>
      </c>
      <c r="BM258" s="1110">
        <f t="shared" si="490"/>
        <v>0</v>
      </c>
      <c r="BN258" s="1112">
        <f t="shared" si="471"/>
        <v>0</v>
      </c>
      <c r="BO258" s="1113"/>
      <c r="BP258" s="2216" t="s">
        <v>2637</v>
      </c>
      <c r="BQ258" s="2193" t="s">
        <v>2193</v>
      </c>
      <c r="BR258" s="1421" t="s">
        <v>2478</v>
      </c>
    </row>
    <row r="259" spans="1:70" ht="12.75" customHeight="1" thickBot="1">
      <c r="A259" s="2135" t="s">
        <v>2782</v>
      </c>
      <c r="B259" s="2135"/>
      <c r="C259" s="2136"/>
      <c r="D259" s="2136"/>
      <c r="E259" s="2137"/>
      <c r="F259" s="2137"/>
      <c r="G259" s="2137"/>
      <c r="H259" s="2137"/>
      <c r="I259" s="2137"/>
      <c r="J259" s="2137"/>
      <c r="K259" s="2137"/>
      <c r="L259" s="2137"/>
      <c r="M259" s="2137"/>
      <c r="N259" s="2137"/>
      <c r="O259" s="2137"/>
      <c r="P259" s="2138">
        <f>+SUMPRODUCT(P260:P265,Z260:Z265)</f>
        <v>1.0000000000000002</v>
      </c>
      <c r="Q259" s="2138">
        <f t="shared" ref="Q259:S259" si="572">+SUMPRODUCT(Q260:Q265,AA260:AA265)</f>
        <v>1.0000000000000002</v>
      </c>
      <c r="R259" s="2138">
        <f t="shared" si="572"/>
        <v>0</v>
      </c>
      <c r="S259" s="2138">
        <f t="shared" si="572"/>
        <v>0</v>
      </c>
      <c r="T259" s="2139"/>
      <c r="U259" s="2135"/>
      <c r="V259" s="2140"/>
      <c r="W259" s="2141">
        <f t="shared" si="544"/>
        <v>0</v>
      </c>
      <c r="X259" s="2138">
        <f>+SUMPRODUCT(X260:X265,Y260:Y265)</f>
        <v>0.51187499999999997</v>
      </c>
      <c r="Y259" s="2142">
        <v>0.55000000000000004</v>
      </c>
      <c r="Z259" s="2142">
        <v>0.55000000000000004</v>
      </c>
      <c r="AA259" s="2142">
        <v>0.55000000000000004</v>
      </c>
      <c r="AB259" s="2142">
        <v>0.55000000000000004</v>
      </c>
      <c r="AC259" s="2142">
        <v>0.55000000000000004</v>
      </c>
      <c r="AD259" s="2136">
        <f>SUM(AD260:AD265)</f>
        <v>407626736.5148955</v>
      </c>
      <c r="AE259" s="2136">
        <f>SUM(AE260:AE265)</f>
        <v>439875000</v>
      </c>
      <c r="AF259" s="2136">
        <f t="shared" ref="AF259:AK259" si="573">SUM(AF260:AF265)</f>
        <v>536822500</v>
      </c>
      <c r="AG259" s="2136">
        <f t="shared" si="573"/>
        <v>588956225</v>
      </c>
      <c r="AH259" s="2136">
        <f t="shared" si="573"/>
        <v>346321296.44108832</v>
      </c>
      <c r="AI259" s="2136">
        <f t="shared" si="573"/>
        <v>413223205</v>
      </c>
      <c r="AJ259" s="2136">
        <f t="shared" si="573"/>
        <v>0</v>
      </c>
      <c r="AK259" s="2136">
        <f t="shared" si="573"/>
        <v>0</v>
      </c>
      <c r="AL259" s="2143">
        <f t="shared" si="449"/>
        <v>0.84960397691782186</v>
      </c>
      <c r="AM259" s="2143">
        <f t="shared" si="449"/>
        <v>0.93941052571753336</v>
      </c>
      <c r="AN259" s="2143">
        <f t="shared" si="449"/>
        <v>0</v>
      </c>
      <c r="AO259" s="2143">
        <f t="shared" si="449"/>
        <v>0</v>
      </c>
      <c r="AP259" s="2136">
        <f t="shared" ref="AP259:AS259" si="574">SUM(AP260:AP265)</f>
        <v>319433716.27711141</v>
      </c>
      <c r="AQ259" s="2144">
        <f t="shared" si="574"/>
        <v>404128779.25999999</v>
      </c>
      <c r="AR259" s="2136">
        <f t="shared" si="574"/>
        <v>0</v>
      </c>
      <c r="AS259" s="2136">
        <f t="shared" si="574"/>
        <v>0</v>
      </c>
      <c r="AT259" s="2143">
        <f t="shared" si="450"/>
        <v>0.78364269971147649</v>
      </c>
      <c r="AU259" s="2143">
        <f t="shared" si="450"/>
        <v>0.91873550272236426</v>
      </c>
      <c r="AV259" s="2143">
        <f t="shared" si="450"/>
        <v>0</v>
      </c>
      <c r="AW259" s="2143">
        <f t="shared" si="450"/>
        <v>0</v>
      </c>
      <c r="AX259" s="2136">
        <f t="shared" ref="AX259:BE259" si="575">SUM(AX260:AX265)</f>
        <v>26887580.163976908</v>
      </c>
      <c r="AY259" s="2136">
        <f t="shared" si="575"/>
        <v>9094425.740000017</v>
      </c>
      <c r="AZ259" s="2136">
        <f t="shared" si="575"/>
        <v>0</v>
      </c>
      <c r="BA259" s="2136">
        <f t="shared" si="575"/>
        <v>0</v>
      </c>
      <c r="BB259" s="2136">
        <f t="shared" si="575"/>
        <v>0</v>
      </c>
      <c r="BC259" s="2136">
        <f t="shared" si="575"/>
        <v>0</v>
      </c>
      <c r="BD259" s="2136">
        <f t="shared" si="575"/>
        <v>0</v>
      </c>
      <c r="BE259" s="2136">
        <f t="shared" si="575"/>
        <v>0</v>
      </c>
      <c r="BF259" s="2142">
        <f t="shared" si="451"/>
        <v>0</v>
      </c>
      <c r="BG259" s="2142">
        <f t="shared" si="451"/>
        <v>0</v>
      </c>
      <c r="BH259" s="2142" t="e">
        <f t="shared" si="451"/>
        <v>#DIV/0!</v>
      </c>
      <c r="BI259" s="2142" t="e">
        <f t="shared" si="451"/>
        <v>#DIV/0!</v>
      </c>
      <c r="BJ259" s="2136">
        <f t="shared" si="491"/>
        <v>1973280461.5148954</v>
      </c>
      <c r="BK259" s="2144">
        <f t="shared" si="492"/>
        <v>759544501.44108832</v>
      </c>
      <c r="BL259" s="2145">
        <f t="shared" si="489"/>
        <v>0.38491462123837322</v>
      </c>
      <c r="BM259" s="2144">
        <f t="shared" si="490"/>
        <v>723562495.5371114</v>
      </c>
      <c r="BN259" s="2146">
        <f t="shared" si="471"/>
        <v>0.36668000806212286</v>
      </c>
      <c r="BO259" s="2136"/>
      <c r="BP259" s="2147"/>
      <c r="BQ259" s="2147"/>
      <c r="BR259" s="2147"/>
    </row>
    <row r="260" spans="1:70" ht="12.75" customHeight="1" thickBot="1">
      <c r="A260" s="1851" t="s">
        <v>2783</v>
      </c>
      <c r="B260" s="1867" t="s">
        <v>2784</v>
      </c>
      <c r="C260" s="1274" t="s">
        <v>597</v>
      </c>
      <c r="D260" s="2217">
        <v>0.9</v>
      </c>
      <c r="E260" s="2218">
        <v>0.9</v>
      </c>
      <c r="F260" s="2218">
        <v>0.9</v>
      </c>
      <c r="G260" s="2219">
        <v>0.9</v>
      </c>
      <c r="H260" s="1344">
        <v>0.9</v>
      </c>
      <c r="I260" s="1280">
        <v>0.92</v>
      </c>
      <c r="J260" s="1030"/>
      <c r="K260" s="1030"/>
      <c r="L260" s="1030"/>
      <c r="M260" s="1031"/>
      <c r="N260" s="1031"/>
      <c r="O260" s="1031"/>
      <c r="P260" s="1032">
        <f t="shared" ref="P260:S265" si="576">IF((H260+L260)/D260&gt;=100%,100%,(H260+L260)/D260)</f>
        <v>1</v>
      </c>
      <c r="Q260" s="1032">
        <f t="shared" si="576"/>
        <v>1</v>
      </c>
      <c r="R260" s="1032">
        <f t="shared" si="576"/>
        <v>0</v>
      </c>
      <c r="S260" s="1032">
        <f t="shared" si="576"/>
        <v>0</v>
      </c>
      <c r="T260" s="1702" t="s">
        <v>2785</v>
      </c>
      <c r="U260" s="1034">
        <v>46022</v>
      </c>
      <c r="V260" s="1035">
        <f t="shared" ref="V260:V265" si="577">SUM(D260:G260)</f>
        <v>3.6</v>
      </c>
      <c r="W260" s="1035">
        <f t="shared" ref="W260:W265" si="578">SUM(H260:N260)</f>
        <v>1.82</v>
      </c>
      <c r="X260" s="1279">
        <f t="shared" si="549"/>
        <v>0.50555555555555554</v>
      </c>
      <c r="Y260" s="1037">
        <v>0.3</v>
      </c>
      <c r="Z260" s="1037">
        <v>0.3</v>
      </c>
      <c r="AA260" s="1037">
        <v>0.3</v>
      </c>
      <c r="AB260" s="1037">
        <v>0.3</v>
      </c>
      <c r="AC260" s="1037">
        <v>0.3</v>
      </c>
      <c r="AD260" s="1137">
        <f>227500000/4+(92626736.5148955/4)</f>
        <v>80031684.128723875</v>
      </c>
      <c r="AE260" s="1137">
        <v>80540312.5</v>
      </c>
      <c r="AF260" s="1137">
        <v>160098750</v>
      </c>
      <c r="AG260" s="1137">
        <v>180321750</v>
      </c>
      <c r="AH260" s="1137">
        <f>199375860/4+(92626736.4410883/4)</f>
        <v>73000649.11027208</v>
      </c>
      <c r="AI260" s="1137">
        <f>307152541/4</f>
        <v>76788135.25</v>
      </c>
      <c r="AJ260" s="1137"/>
      <c r="AK260" s="1137"/>
      <c r="AL260" s="1048">
        <f t="shared" si="449"/>
        <v>0.91214685664813699</v>
      </c>
      <c r="AM260" s="1048">
        <f t="shared" si="449"/>
        <v>0.95341243243872442</v>
      </c>
      <c r="AN260" s="1048">
        <f t="shared" si="449"/>
        <v>0</v>
      </c>
      <c r="AO260" s="1048">
        <f t="shared" si="449"/>
        <v>0</v>
      </c>
      <c r="AP260" s="1283">
        <f>194916975/4+(79437641.2771114/4)</f>
        <v>68588654.069277853</v>
      </c>
      <c r="AQ260" s="1041">
        <f>302338887.58/4</f>
        <v>75584721.894999996</v>
      </c>
      <c r="AR260" s="1552"/>
      <c r="AS260" s="1042"/>
      <c r="AT260" s="1043">
        <f t="shared" si="450"/>
        <v>0.85701875221017565</v>
      </c>
      <c r="AU260" s="1043">
        <f t="shared" si="450"/>
        <v>0.93847068069173434</v>
      </c>
      <c r="AV260" s="1043">
        <f t="shared" si="450"/>
        <v>0</v>
      </c>
      <c r="AW260" s="1043">
        <f t="shared" si="450"/>
        <v>0</v>
      </c>
      <c r="AX260" s="1044">
        <f t="shared" ref="AX260:BA265" si="579">+AH260-AP260</f>
        <v>4411995.0409942269</v>
      </c>
      <c r="AY260" s="1044">
        <f t="shared" si="579"/>
        <v>1203413.3550000042</v>
      </c>
      <c r="AZ260" s="1044">
        <f t="shared" si="579"/>
        <v>0</v>
      </c>
      <c r="BA260" s="1044">
        <f t="shared" si="579"/>
        <v>0</v>
      </c>
      <c r="BB260" s="1283"/>
      <c r="BC260" s="1283"/>
      <c r="BD260" s="1283"/>
      <c r="BE260" s="1283"/>
      <c r="BF260" s="1045">
        <f t="shared" si="451"/>
        <v>0</v>
      </c>
      <c r="BG260" s="1045">
        <f t="shared" si="451"/>
        <v>0</v>
      </c>
      <c r="BH260" s="1045" t="e">
        <f t="shared" si="451"/>
        <v>#DIV/0!</v>
      </c>
      <c r="BI260" s="1045" t="e">
        <f t="shared" si="451"/>
        <v>#DIV/0!</v>
      </c>
      <c r="BJ260" s="1283">
        <f t="shared" si="491"/>
        <v>500992496.62872386</v>
      </c>
      <c r="BK260" s="1046">
        <f t="shared" si="492"/>
        <v>149788784.36027208</v>
      </c>
      <c r="BL260" s="1047">
        <f t="shared" si="489"/>
        <v>0.29898408732312359</v>
      </c>
      <c r="BM260" s="1046">
        <f t="shared" si="490"/>
        <v>144173375.96427786</v>
      </c>
      <c r="BN260" s="1048">
        <f t="shared" si="471"/>
        <v>0.28777551946276364</v>
      </c>
      <c r="BO260" s="2106" t="s">
        <v>2653</v>
      </c>
      <c r="BP260" s="1409" t="s">
        <v>2637</v>
      </c>
      <c r="BQ260" s="2220" t="s">
        <v>2193</v>
      </c>
      <c r="BR260" s="1348" t="s">
        <v>596</v>
      </c>
    </row>
    <row r="261" spans="1:70" ht="12.75" customHeight="1" thickBot="1">
      <c r="A261" s="1904" t="s">
        <v>2786</v>
      </c>
      <c r="B261" s="1869" t="s">
        <v>2787</v>
      </c>
      <c r="C261" s="1889" t="s">
        <v>597</v>
      </c>
      <c r="D261" s="2221">
        <v>0.9</v>
      </c>
      <c r="E261" s="2222">
        <v>0.9</v>
      </c>
      <c r="F261" s="2222">
        <v>0.9</v>
      </c>
      <c r="G261" s="2223">
        <v>0.9</v>
      </c>
      <c r="H261" s="1893">
        <v>0.9</v>
      </c>
      <c r="I261" s="1514">
        <v>1</v>
      </c>
      <c r="J261" s="1060"/>
      <c r="K261" s="1060"/>
      <c r="L261" s="1060"/>
      <c r="M261" s="1061"/>
      <c r="N261" s="1061"/>
      <c r="O261" s="1061"/>
      <c r="P261" s="1062">
        <f t="shared" si="576"/>
        <v>1</v>
      </c>
      <c r="Q261" s="1062">
        <f t="shared" si="576"/>
        <v>1</v>
      </c>
      <c r="R261" s="1062">
        <f t="shared" si="576"/>
        <v>0</v>
      </c>
      <c r="S261" s="1062">
        <f t="shared" si="576"/>
        <v>0</v>
      </c>
      <c r="T261" s="1669" t="s">
        <v>2788</v>
      </c>
      <c r="U261" s="1034">
        <v>46022</v>
      </c>
      <c r="V261" s="1035">
        <f t="shared" si="577"/>
        <v>3.6</v>
      </c>
      <c r="W261" s="1035">
        <f t="shared" si="578"/>
        <v>1.9</v>
      </c>
      <c r="X261" s="1327">
        <f t="shared" si="549"/>
        <v>0.52777777777777779</v>
      </c>
      <c r="Y261" s="1065">
        <v>0.3</v>
      </c>
      <c r="Z261" s="1065">
        <v>0.3</v>
      </c>
      <c r="AA261" s="1065">
        <v>0.3</v>
      </c>
      <c r="AB261" s="1065">
        <v>0.3</v>
      </c>
      <c r="AC261" s="1065">
        <v>0.3</v>
      </c>
      <c r="AD261" s="1066">
        <f>227500000/4+(92626736.5148955/4)</f>
        <v>80031684.128723875</v>
      </c>
      <c r="AE261" s="1137">
        <v>80540312.5</v>
      </c>
      <c r="AF261" s="1137">
        <v>157106250</v>
      </c>
      <c r="AG261" s="1137">
        <v>173643750</v>
      </c>
      <c r="AH261" s="1137">
        <f>199375860/4+(92626736.4410883/4)</f>
        <v>73000649.11027208</v>
      </c>
      <c r="AI261" s="1137">
        <f t="shared" ref="AI261:AI263" si="580">307152541/4</f>
        <v>76788135.25</v>
      </c>
      <c r="AJ261" s="1137"/>
      <c r="AK261" s="1137"/>
      <c r="AL261" s="1074">
        <f t="shared" si="449"/>
        <v>0.91214685664813699</v>
      </c>
      <c r="AM261" s="1074">
        <f t="shared" si="449"/>
        <v>0.95341243243872442</v>
      </c>
      <c r="AN261" s="1074">
        <f t="shared" si="449"/>
        <v>0</v>
      </c>
      <c r="AO261" s="1074">
        <f t="shared" si="449"/>
        <v>0</v>
      </c>
      <c r="AP261" s="1283">
        <f>194916975/4+(79437641.2771114/4)</f>
        <v>68588654.069277853</v>
      </c>
      <c r="AQ261" s="1041">
        <f t="shared" ref="AQ261:AQ263" si="581">302338887.58/4</f>
        <v>75584721.894999996</v>
      </c>
      <c r="AR261" s="1560"/>
      <c r="AS261" s="1069"/>
      <c r="AT261" s="1140">
        <f t="shared" si="450"/>
        <v>0.85701875221017565</v>
      </c>
      <c r="AU261" s="1140">
        <f t="shared" si="450"/>
        <v>0.93847068069173434</v>
      </c>
      <c r="AV261" s="1140">
        <f t="shared" si="450"/>
        <v>0</v>
      </c>
      <c r="AW261" s="1140">
        <f t="shared" si="450"/>
        <v>0</v>
      </c>
      <c r="AX261" s="1044">
        <f t="shared" si="579"/>
        <v>4411995.0409942269</v>
      </c>
      <c r="AY261" s="1044">
        <f t="shared" si="579"/>
        <v>1203413.3550000042</v>
      </c>
      <c r="AZ261" s="1044">
        <f t="shared" si="579"/>
        <v>0</v>
      </c>
      <c r="BA261" s="1044">
        <f t="shared" si="579"/>
        <v>0</v>
      </c>
      <c r="BB261" s="1070"/>
      <c r="BC261" s="1070"/>
      <c r="BD261" s="1070"/>
      <c r="BE261" s="1070"/>
      <c r="BF261" s="1071">
        <f t="shared" si="451"/>
        <v>0</v>
      </c>
      <c r="BG261" s="1071">
        <f t="shared" si="451"/>
        <v>0</v>
      </c>
      <c r="BH261" s="1071" t="e">
        <f t="shared" si="451"/>
        <v>#DIV/0!</v>
      </c>
      <c r="BI261" s="1071" t="e">
        <f t="shared" si="451"/>
        <v>#DIV/0!</v>
      </c>
      <c r="BJ261" s="1070">
        <f t="shared" si="491"/>
        <v>491321996.62872386</v>
      </c>
      <c r="BK261" s="1072">
        <f t="shared" si="492"/>
        <v>149788784.36027208</v>
      </c>
      <c r="BL261" s="1073">
        <f t="shared" si="489"/>
        <v>0.30486887497011989</v>
      </c>
      <c r="BM261" s="1072">
        <f t="shared" si="490"/>
        <v>144173375.96427786</v>
      </c>
      <c r="BN261" s="1074">
        <f t="shared" si="471"/>
        <v>0.29343969322266072</v>
      </c>
      <c r="BO261" s="2106" t="s">
        <v>2653</v>
      </c>
      <c r="BP261" s="1321" t="s">
        <v>2637</v>
      </c>
      <c r="BQ261" s="2224" t="s">
        <v>2193</v>
      </c>
      <c r="BR261" s="1670" t="s">
        <v>596</v>
      </c>
    </row>
    <row r="262" spans="1:70" ht="12.75" customHeight="1" thickBot="1">
      <c r="A262" s="1904" t="s">
        <v>2789</v>
      </c>
      <c r="B262" s="1869" t="s">
        <v>2790</v>
      </c>
      <c r="C262" s="1889" t="s">
        <v>597</v>
      </c>
      <c r="D262" s="2221">
        <v>0.8</v>
      </c>
      <c r="E262" s="2222">
        <v>0.8</v>
      </c>
      <c r="F262" s="2222">
        <v>0.8</v>
      </c>
      <c r="G262" s="2223">
        <v>0.8</v>
      </c>
      <c r="H262" s="1893">
        <v>0.8</v>
      </c>
      <c r="I262" s="1514">
        <v>0.92</v>
      </c>
      <c r="J262" s="1060"/>
      <c r="K262" s="1060"/>
      <c r="L262" s="1060"/>
      <c r="M262" s="1061"/>
      <c r="N262" s="1061"/>
      <c r="O262" s="1061"/>
      <c r="P262" s="1062">
        <f t="shared" si="576"/>
        <v>1</v>
      </c>
      <c r="Q262" s="1062">
        <f t="shared" si="576"/>
        <v>1</v>
      </c>
      <c r="R262" s="1062">
        <f t="shared" si="576"/>
        <v>0</v>
      </c>
      <c r="S262" s="1062">
        <f t="shared" si="576"/>
        <v>0</v>
      </c>
      <c r="T262" s="1669" t="s">
        <v>2791</v>
      </c>
      <c r="U262" s="1034">
        <v>46022</v>
      </c>
      <c r="V262" s="1035">
        <f t="shared" si="577"/>
        <v>3.2</v>
      </c>
      <c r="W262" s="1035">
        <f t="shared" si="578"/>
        <v>1.7200000000000002</v>
      </c>
      <c r="X262" s="1327">
        <f t="shared" si="549"/>
        <v>0.53749999999999998</v>
      </c>
      <c r="Y262" s="1065">
        <v>0.05</v>
      </c>
      <c r="Z262" s="1065">
        <v>0.05</v>
      </c>
      <c r="AA262" s="1065">
        <v>0.05</v>
      </c>
      <c r="AB262" s="1065">
        <v>0.05</v>
      </c>
      <c r="AC262" s="1065">
        <v>0.05</v>
      </c>
      <c r="AD262" s="1066">
        <f>227500000/4+(92626736.5148955/4)</f>
        <v>80031684.128723875</v>
      </c>
      <c r="AE262" s="1137">
        <v>80540312.5</v>
      </c>
      <c r="AF262" s="1137">
        <v>32100000.000000004</v>
      </c>
      <c r="AG262" s="1137">
        <v>34347000.000000007</v>
      </c>
      <c r="AH262" s="1137">
        <f>199375860/4+(92626736.4410883/4)</f>
        <v>73000649.11027208</v>
      </c>
      <c r="AI262" s="1137">
        <f t="shared" si="580"/>
        <v>76788135.25</v>
      </c>
      <c r="AJ262" s="1137"/>
      <c r="AK262" s="1137"/>
      <c r="AL262" s="1074">
        <f t="shared" si="449"/>
        <v>0.91214685664813699</v>
      </c>
      <c r="AM262" s="1074">
        <f t="shared" si="449"/>
        <v>0.95341243243872442</v>
      </c>
      <c r="AN262" s="1074">
        <f t="shared" si="449"/>
        <v>0</v>
      </c>
      <c r="AO262" s="1074">
        <f t="shared" si="449"/>
        <v>0</v>
      </c>
      <c r="AP262" s="1283">
        <f>194916975/4+(79437641.2771114/4)</f>
        <v>68588654.069277853</v>
      </c>
      <c r="AQ262" s="1041">
        <f t="shared" si="581"/>
        <v>75584721.894999996</v>
      </c>
      <c r="AR262" s="1560"/>
      <c r="AS262" s="1069"/>
      <c r="AT262" s="1140">
        <f t="shared" si="450"/>
        <v>0.85701875221017565</v>
      </c>
      <c r="AU262" s="1140">
        <f t="shared" si="450"/>
        <v>0.93847068069173434</v>
      </c>
      <c r="AV262" s="1140">
        <f t="shared" si="450"/>
        <v>0</v>
      </c>
      <c r="AW262" s="1140">
        <f t="shared" si="450"/>
        <v>0</v>
      </c>
      <c r="AX262" s="1044">
        <f t="shared" si="579"/>
        <v>4411995.0409942269</v>
      </c>
      <c r="AY262" s="1044">
        <f t="shared" si="579"/>
        <v>1203413.3550000042</v>
      </c>
      <c r="AZ262" s="1044">
        <f t="shared" si="579"/>
        <v>0</v>
      </c>
      <c r="BA262" s="1044">
        <f t="shared" si="579"/>
        <v>0</v>
      </c>
      <c r="BB262" s="1070"/>
      <c r="BC262" s="1070"/>
      <c r="BD262" s="1070"/>
      <c r="BE262" s="1070"/>
      <c r="BF262" s="1071">
        <f t="shared" si="451"/>
        <v>0</v>
      </c>
      <c r="BG262" s="1071">
        <f t="shared" si="451"/>
        <v>0</v>
      </c>
      <c r="BH262" s="1071" t="e">
        <f t="shared" si="451"/>
        <v>#DIV/0!</v>
      </c>
      <c r="BI262" s="1071" t="e">
        <f t="shared" si="451"/>
        <v>#DIV/0!</v>
      </c>
      <c r="BJ262" s="1070">
        <f t="shared" si="491"/>
        <v>227018996.62872386</v>
      </c>
      <c r="BK262" s="1072">
        <f t="shared" si="492"/>
        <v>149788784.36027208</v>
      </c>
      <c r="BL262" s="1073">
        <f t="shared" si="489"/>
        <v>0.65980726980853843</v>
      </c>
      <c r="BM262" s="1072">
        <f t="shared" si="490"/>
        <v>144173375.96427786</v>
      </c>
      <c r="BN262" s="1074">
        <f t="shared" si="471"/>
        <v>0.63507185788537723</v>
      </c>
      <c r="BO262" s="2106" t="s">
        <v>2653</v>
      </c>
      <c r="BP262" s="1321" t="s">
        <v>2637</v>
      </c>
      <c r="BQ262" s="2224" t="s">
        <v>2193</v>
      </c>
      <c r="BR262" s="1670" t="s">
        <v>596</v>
      </c>
    </row>
    <row r="263" spans="1:70" ht="12.75" customHeight="1" thickBot="1">
      <c r="A263" s="1904" t="s">
        <v>2792</v>
      </c>
      <c r="B263" s="1869" t="s">
        <v>2793</v>
      </c>
      <c r="C263" s="1889" t="s">
        <v>597</v>
      </c>
      <c r="D263" s="2221">
        <v>0.9</v>
      </c>
      <c r="E263" s="2222">
        <v>0.9</v>
      </c>
      <c r="F263" s="2222">
        <v>0.9</v>
      </c>
      <c r="G263" s="2223">
        <v>0.9</v>
      </c>
      <c r="H263" s="1893">
        <v>0.9</v>
      </c>
      <c r="I263" s="1514">
        <v>0.9</v>
      </c>
      <c r="J263" s="1060"/>
      <c r="K263" s="1060"/>
      <c r="L263" s="1060"/>
      <c r="M263" s="1061"/>
      <c r="N263" s="1061"/>
      <c r="O263" s="1061"/>
      <c r="P263" s="1062">
        <f t="shared" si="576"/>
        <v>1</v>
      </c>
      <c r="Q263" s="1062">
        <f t="shared" si="576"/>
        <v>1</v>
      </c>
      <c r="R263" s="1062">
        <f t="shared" si="576"/>
        <v>0</v>
      </c>
      <c r="S263" s="1062">
        <f t="shared" si="576"/>
        <v>0</v>
      </c>
      <c r="T263" s="2151" t="s">
        <v>2794</v>
      </c>
      <c r="U263" s="1034">
        <v>46022</v>
      </c>
      <c r="V263" s="1035">
        <f t="shared" si="577"/>
        <v>3.6</v>
      </c>
      <c r="W263" s="1035">
        <f t="shared" si="578"/>
        <v>1.8</v>
      </c>
      <c r="X263" s="1327">
        <f t="shared" si="549"/>
        <v>0.5</v>
      </c>
      <c r="Y263" s="1065">
        <v>0.05</v>
      </c>
      <c r="Z263" s="1065">
        <v>0.05</v>
      </c>
      <c r="AA263" s="1065">
        <v>0.05</v>
      </c>
      <c r="AB263" s="1065">
        <v>0.05</v>
      </c>
      <c r="AC263" s="1065">
        <v>0.05</v>
      </c>
      <c r="AD263" s="1066">
        <f>227500000/4+(92626736.5148955/4)</f>
        <v>80031684.128723875</v>
      </c>
      <c r="AE263" s="1137">
        <v>80540312.5</v>
      </c>
      <c r="AF263" s="1137">
        <v>22470000</v>
      </c>
      <c r="AG263" s="1137">
        <v>24042900</v>
      </c>
      <c r="AH263" s="1137">
        <f>199375860/4+(92626736.4410883/4)</f>
        <v>73000649.11027208</v>
      </c>
      <c r="AI263" s="1137">
        <f t="shared" si="580"/>
        <v>76788135.25</v>
      </c>
      <c r="AJ263" s="1137"/>
      <c r="AK263" s="1137"/>
      <c r="AL263" s="1074">
        <f t="shared" si="449"/>
        <v>0.91214685664813699</v>
      </c>
      <c r="AM263" s="1074">
        <f t="shared" si="449"/>
        <v>0.95341243243872442</v>
      </c>
      <c r="AN263" s="1074">
        <f t="shared" si="449"/>
        <v>0</v>
      </c>
      <c r="AO263" s="1074">
        <f t="shared" ref="AO263" si="582">+AK263/AG263</f>
        <v>0</v>
      </c>
      <c r="AP263" s="1283">
        <f>194916975/4+(79437641.2771114/4)</f>
        <v>68588654.069277853</v>
      </c>
      <c r="AQ263" s="1041">
        <f t="shared" si="581"/>
        <v>75584721.894999996</v>
      </c>
      <c r="AR263" s="1560"/>
      <c r="AS263" s="1069"/>
      <c r="AT263" s="1140">
        <f t="shared" si="450"/>
        <v>0.85701875221017565</v>
      </c>
      <c r="AU263" s="1140">
        <f t="shared" si="450"/>
        <v>0.93847068069173434</v>
      </c>
      <c r="AV263" s="1140">
        <f t="shared" si="450"/>
        <v>0</v>
      </c>
      <c r="AW263" s="1140">
        <f t="shared" ref="AW263:AW284" si="583">+AS263/AG263</f>
        <v>0</v>
      </c>
      <c r="AX263" s="1044">
        <f t="shared" si="579"/>
        <v>4411995.0409942269</v>
      </c>
      <c r="AY263" s="1044">
        <f t="shared" si="579"/>
        <v>1203413.3550000042</v>
      </c>
      <c r="AZ263" s="1044">
        <f t="shared" si="579"/>
        <v>0</v>
      </c>
      <c r="BA263" s="1044">
        <f t="shared" si="579"/>
        <v>0</v>
      </c>
      <c r="BB263" s="1070"/>
      <c r="BC263" s="1070"/>
      <c r="BD263" s="1070"/>
      <c r="BE263" s="1070"/>
      <c r="BF263" s="1071">
        <f t="shared" si="451"/>
        <v>0</v>
      </c>
      <c r="BG263" s="1071">
        <f t="shared" si="451"/>
        <v>0</v>
      </c>
      <c r="BH263" s="1071" t="e">
        <f t="shared" si="451"/>
        <v>#DIV/0!</v>
      </c>
      <c r="BI263" s="1071" t="e">
        <f t="shared" ref="BI263:BI284" si="584">+BE263/BA263</f>
        <v>#DIV/0!</v>
      </c>
      <c r="BJ263" s="1070">
        <f t="shared" si="491"/>
        <v>207084896.62872386</v>
      </c>
      <c r="BK263" s="1072">
        <f t="shared" si="492"/>
        <v>149788784.36027208</v>
      </c>
      <c r="BL263" s="1073">
        <f t="shared" si="489"/>
        <v>0.72332066123018035</v>
      </c>
      <c r="BM263" s="1072">
        <f t="shared" si="490"/>
        <v>144173375.96427786</v>
      </c>
      <c r="BN263" s="1074">
        <f t="shared" si="471"/>
        <v>0.696204205673009</v>
      </c>
      <c r="BO263" s="2106" t="s">
        <v>2653</v>
      </c>
      <c r="BP263" s="1321" t="s">
        <v>2637</v>
      </c>
      <c r="BQ263" s="2224" t="s">
        <v>2193</v>
      </c>
      <c r="BR263" s="1670" t="s">
        <v>596</v>
      </c>
    </row>
    <row r="264" spans="1:70" ht="12.75" customHeight="1" thickBot="1">
      <c r="A264" s="1904" t="s">
        <v>2795</v>
      </c>
      <c r="B264" s="1905" t="s">
        <v>2796</v>
      </c>
      <c r="C264" s="1896" t="s">
        <v>597</v>
      </c>
      <c r="D264" s="2225">
        <v>0.9</v>
      </c>
      <c r="E264" s="2226">
        <v>0.9</v>
      </c>
      <c r="F264" s="2226">
        <v>0.9</v>
      </c>
      <c r="G264" s="2227">
        <v>0.9</v>
      </c>
      <c r="H264" s="1893">
        <v>0.9</v>
      </c>
      <c r="I264" s="1514">
        <v>0.9</v>
      </c>
      <c r="J264" s="1060"/>
      <c r="K264" s="1060"/>
      <c r="L264" s="1060"/>
      <c r="M264" s="1061"/>
      <c r="N264" s="1061"/>
      <c r="O264" s="1061"/>
      <c r="P264" s="1062">
        <f t="shared" si="576"/>
        <v>1</v>
      </c>
      <c r="Q264" s="1062">
        <f t="shared" si="576"/>
        <v>1</v>
      </c>
      <c r="R264" s="1062">
        <f t="shared" si="576"/>
        <v>0</v>
      </c>
      <c r="S264" s="1062">
        <f t="shared" si="576"/>
        <v>0</v>
      </c>
      <c r="T264" s="1669" t="s">
        <v>2797</v>
      </c>
      <c r="U264" s="1034">
        <v>46022</v>
      </c>
      <c r="V264" s="1035">
        <f t="shared" si="577"/>
        <v>3.6</v>
      </c>
      <c r="W264" s="1035">
        <f t="shared" si="578"/>
        <v>1.8</v>
      </c>
      <c r="X264" s="1327">
        <f t="shared" si="549"/>
        <v>0.5</v>
      </c>
      <c r="Y264" s="1065">
        <v>0.2</v>
      </c>
      <c r="Z264" s="1065">
        <v>0.2</v>
      </c>
      <c r="AA264" s="1065">
        <v>0.2</v>
      </c>
      <c r="AB264" s="1065">
        <v>0.2</v>
      </c>
      <c r="AC264" s="1065">
        <v>0.2</v>
      </c>
      <c r="AD264" s="1066">
        <v>59500000</v>
      </c>
      <c r="AE264" s="1066">
        <v>59213750</v>
      </c>
      <c r="AF264" s="1066">
        <v>95497500</v>
      </c>
      <c r="AG264" s="1066">
        <v>102182325</v>
      </c>
      <c r="AH264" s="1066">
        <v>26318700</v>
      </c>
      <c r="AI264" s="1066">
        <v>47890500</v>
      </c>
      <c r="AJ264" s="1066"/>
      <c r="AK264" s="1066"/>
      <c r="AL264" s="1074">
        <f t="shared" ref="AL264:AO284" si="585">+AH264/AD264</f>
        <v>0.44233109243697477</v>
      </c>
      <c r="AM264" s="1074">
        <f t="shared" si="585"/>
        <v>0.80877330012032678</v>
      </c>
      <c r="AN264" s="1074">
        <f t="shared" si="585"/>
        <v>0</v>
      </c>
      <c r="AO264" s="1074">
        <f t="shared" si="585"/>
        <v>0</v>
      </c>
      <c r="AP264" s="1070">
        <v>17079100</v>
      </c>
      <c r="AQ264" s="1068">
        <v>45002947.609999999</v>
      </c>
      <c r="AR264" s="1560"/>
      <c r="AS264" s="1069"/>
      <c r="AT264" s="1140">
        <f t="shared" ref="AT264:AV284" si="586">+AP264/AD264</f>
        <v>0.28704369747899161</v>
      </c>
      <c r="AU264" s="1140">
        <f t="shared" si="586"/>
        <v>0.76000840362246946</v>
      </c>
      <c r="AV264" s="1140">
        <f t="shared" si="586"/>
        <v>0</v>
      </c>
      <c r="AW264" s="1140">
        <f t="shared" si="583"/>
        <v>0</v>
      </c>
      <c r="AX264" s="1044">
        <f t="shared" si="579"/>
        <v>9239600</v>
      </c>
      <c r="AY264" s="1044">
        <f t="shared" si="579"/>
        <v>2887552.3900000006</v>
      </c>
      <c r="AZ264" s="1044">
        <f t="shared" si="579"/>
        <v>0</v>
      </c>
      <c r="BA264" s="1044">
        <f t="shared" si="579"/>
        <v>0</v>
      </c>
      <c r="BB264" s="1070"/>
      <c r="BC264" s="1070"/>
      <c r="BD264" s="1070"/>
      <c r="BE264" s="1070"/>
      <c r="BF264" s="1071">
        <f t="shared" ref="BF264:BH284" si="587">+BB264/AX264</f>
        <v>0</v>
      </c>
      <c r="BG264" s="1071">
        <f t="shared" si="587"/>
        <v>0</v>
      </c>
      <c r="BH264" s="1071" t="e">
        <f t="shared" si="587"/>
        <v>#DIV/0!</v>
      </c>
      <c r="BI264" s="1071" t="e">
        <f t="shared" si="584"/>
        <v>#DIV/0!</v>
      </c>
      <c r="BJ264" s="1070">
        <f t="shared" si="491"/>
        <v>316393575</v>
      </c>
      <c r="BK264" s="1072">
        <f t="shared" si="492"/>
        <v>74209200</v>
      </c>
      <c r="BL264" s="1073">
        <f t="shared" si="489"/>
        <v>0.23454711430217887</v>
      </c>
      <c r="BM264" s="1072">
        <f t="shared" si="490"/>
        <v>62082047.609999999</v>
      </c>
      <c r="BN264" s="1074">
        <f t="shared" si="471"/>
        <v>0.19621778858815322</v>
      </c>
      <c r="BO264" s="2106"/>
      <c r="BP264" s="1321" t="s">
        <v>2637</v>
      </c>
      <c r="BQ264" s="2224" t="s">
        <v>2193</v>
      </c>
      <c r="BR264" s="1670" t="s">
        <v>596</v>
      </c>
    </row>
    <row r="265" spans="1:70" ht="12.75" customHeight="1" thickBot="1">
      <c r="A265" s="1795" t="s">
        <v>2798</v>
      </c>
      <c r="B265" s="1796" t="s">
        <v>2799</v>
      </c>
      <c r="C265" s="1285" t="s">
        <v>2181</v>
      </c>
      <c r="D265" s="2228">
        <v>1</v>
      </c>
      <c r="E265" s="2229">
        <v>1</v>
      </c>
      <c r="F265" s="2229">
        <v>1</v>
      </c>
      <c r="G265" s="2230">
        <v>1</v>
      </c>
      <c r="H265" s="1634">
        <v>1</v>
      </c>
      <c r="I265" s="1182">
        <v>1</v>
      </c>
      <c r="J265" s="1182"/>
      <c r="K265" s="1182"/>
      <c r="L265" s="1182"/>
      <c r="M265" s="1101"/>
      <c r="N265" s="1101"/>
      <c r="O265" s="1101"/>
      <c r="P265" s="1102">
        <f t="shared" si="576"/>
        <v>1</v>
      </c>
      <c r="Q265" s="1102">
        <f t="shared" si="576"/>
        <v>1</v>
      </c>
      <c r="R265" s="1102">
        <f t="shared" si="576"/>
        <v>0</v>
      </c>
      <c r="S265" s="1102">
        <f t="shared" si="576"/>
        <v>0</v>
      </c>
      <c r="T265" s="2231" t="s">
        <v>2800</v>
      </c>
      <c r="U265" s="1034">
        <v>46022</v>
      </c>
      <c r="V265" s="1035">
        <f t="shared" si="577"/>
        <v>4</v>
      </c>
      <c r="W265" s="1035">
        <f t="shared" si="578"/>
        <v>2</v>
      </c>
      <c r="X265" s="1291">
        <f t="shared" si="549"/>
        <v>0.5</v>
      </c>
      <c r="Y265" s="1104">
        <v>0.1</v>
      </c>
      <c r="Z265" s="1104">
        <v>0.1</v>
      </c>
      <c r="AA265" s="1104">
        <v>0.1</v>
      </c>
      <c r="AB265" s="1104">
        <v>0.1</v>
      </c>
      <c r="AC265" s="1104">
        <v>0.1</v>
      </c>
      <c r="AD265" s="1106">
        <v>28000000</v>
      </c>
      <c r="AE265" s="1106">
        <v>58500000</v>
      </c>
      <c r="AF265" s="1106">
        <v>69550000</v>
      </c>
      <c r="AG265" s="1106">
        <v>74418500</v>
      </c>
      <c r="AH265" s="1106">
        <v>28000000</v>
      </c>
      <c r="AI265" s="1106">
        <v>58180164</v>
      </c>
      <c r="AJ265" s="1106"/>
      <c r="AK265" s="1106"/>
      <c r="AL265" s="1112">
        <f t="shared" si="585"/>
        <v>1</v>
      </c>
      <c r="AM265" s="1112">
        <f t="shared" si="585"/>
        <v>0.994532717948718</v>
      </c>
      <c r="AN265" s="1112">
        <f t="shared" si="585"/>
        <v>0</v>
      </c>
      <c r="AO265" s="1112">
        <f t="shared" si="585"/>
        <v>0</v>
      </c>
      <c r="AP265" s="1107">
        <v>28000000</v>
      </c>
      <c r="AQ265" s="1187">
        <v>56786944.07</v>
      </c>
      <c r="AR265" s="1567"/>
      <c r="AS265" s="1188"/>
      <c r="AT265" s="1189">
        <f t="shared" si="586"/>
        <v>1</v>
      </c>
      <c r="AU265" s="1189">
        <f t="shared" si="586"/>
        <v>0.97071699264957267</v>
      </c>
      <c r="AV265" s="1189">
        <f t="shared" si="586"/>
        <v>0</v>
      </c>
      <c r="AW265" s="1189">
        <f t="shared" si="583"/>
        <v>0</v>
      </c>
      <c r="AX265" s="1044">
        <f t="shared" si="579"/>
        <v>0</v>
      </c>
      <c r="AY265" s="1044">
        <f t="shared" si="579"/>
        <v>1393219.9299999997</v>
      </c>
      <c r="AZ265" s="1044">
        <f t="shared" si="579"/>
        <v>0</v>
      </c>
      <c r="BA265" s="1044">
        <f t="shared" si="579"/>
        <v>0</v>
      </c>
      <c r="BB265" s="1107"/>
      <c r="BC265" s="1107"/>
      <c r="BD265" s="1107"/>
      <c r="BE265" s="1107"/>
      <c r="BF265" s="1190" t="e">
        <f t="shared" si="587"/>
        <v>#DIV/0!</v>
      </c>
      <c r="BG265" s="1190">
        <f t="shared" si="587"/>
        <v>0</v>
      </c>
      <c r="BH265" s="1190" t="e">
        <f t="shared" si="587"/>
        <v>#DIV/0!</v>
      </c>
      <c r="BI265" s="1190" t="e">
        <f t="shared" si="584"/>
        <v>#DIV/0!</v>
      </c>
      <c r="BJ265" s="1107">
        <f t="shared" si="491"/>
        <v>230468500</v>
      </c>
      <c r="BK265" s="1110">
        <f t="shared" si="492"/>
        <v>86180164</v>
      </c>
      <c r="BL265" s="1111">
        <f t="shared" si="489"/>
        <v>0.37393467653931012</v>
      </c>
      <c r="BM265" s="1110">
        <f t="shared" si="490"/>
        <v>84786944.069999993</v>
      </c>
      <c r="BN265" s="1112">
        <f t="shared" si="471"/>
        <v>0.36788951231947098</v>
      </c>
      <c r="BO265" s="2153"/>
      <c r="BP265" s="1435" t="s">
        <v>2637</v>
      </c>
      <c r="BQ265" s="2232" t="s">
        <v>2193</v>
      </c>
      <c r="BR265" s="1636" t="s">
        <v>596</v>
      </c>
    </row>
    <row r="266" spans="1:70" ht="12.75" customHeight="1" thickBot="1">
      <c r="A266" s="2135" t="s">
        <v>2801</v>
      </c>
      <c r="B266" s="2135"/>
      <c r="C266" s="2136"/>
      <c r="D266" s="2136"/>
      <c r="E266" s="2137"/>
      <c r="F266" s="2137"/>
      <c r="G266" s="2137"/>
      <c r="H266" s="2137"/>
      <c r="I266" s="2137"/>
      <c r="J266" s="2137"/>
      <c r="K266" s="2137"/>
      <c r="L266" s="2137"/>
      <c r="M266" s="2137"/>
      <c r="N266" s="2137"/>
      <c r="O266" s="2137"/>
      <c r="P266" s="2138">
        <f>+SUMPRODUCT(P267:P268,Z267:Z268)</f>
        <v>1</v>
      </c>
      <c r="Q266" s="2138">
        <f t="shared" ref="Q266:S266" si="588">+SUMPRODUCT(Q267:Q268,AA267:AA268)</f>
        <v>1</v>
      </c>
      <c r="R266" s="2138">
        <f t="shared" si="588"/>
        <v>0</v>
      </c>
      <c r="S266" s="2138">
        <f t="shared" si="588"/>
        <v>0</v>
      </c>
      <c r="T266" s="2139"/>
      <c r="U266" s="2135"/>
      <c r="V266" s="2140"/>
      <c r="W266" s="2141">
        <f t="shared" si="544"/>
        <v>0</v>
      </c>
      <c r="X266" s="2138">
        <f>+SUMPRODUCT(X267:X268,Y267:Y268)</f>
        <v>0.5</v>
      </c>
      <c r="Y266" s="2142">
        <v>0.15</v>
      </c>
      <c r="Z266" s="2142">
        <v>0.15</v>
      </c>
      <c r="AA266" s="2142">
        <v>0.15</v>
      </c>
      <c r="AB266" s="2142">
        <v>0.15</v>
      </c>
      <c r="AC266" s="2142">
        <v>0.15</v>
      </c>
      <c r="AD266" s="2136">
        <f>SUM(AD267:AD268)</f>
        <v>108700463.07063881</v>
      </c>
      <c r="AE266" s="2136">
        <f>SUM(AE267:AE268)</f>
        <v>108000000</v>
      </c>
      <c r="AF266" s="2136">
        <f t="shared" ref="AF266:AK266" si="589">SUM(AF267:AF268)</f>
        <v>120000000</v>
      </c>
      <c r="AG266" s="2136">
        <f t="shared" si="589"/>
        <v>120000000</v>
      </c>
      <c r="AH266" s="2136">
        <f t="shared" si="589"/>
        <v>107950463.0509569</v>
      </c>
      <c r="AI266" s="2136">
        <f t="shared" si="589"/>
        <v>60496259</v>
      </c>
      <c r="AJ266" s="2136">
        <f t="shared" si="589"/>
        <v>0</v>
      </c>
      <c r="AK266" s="2136">
        <f t="shared" si="589"/>
        <v>0</v>
      </c>
      <c r="AL266" s="2143">
        <f t="shared" si="585"/>
        <v>0.99310030520114234</v>
      </c>
      <c r="AM266" s="2143">
        <f t="shared" si="585"/>
        <v>0.56015054629629635</v>
      </c>
      <c r="AN266" s="2143">
        <f t="shared" si="585"/>
        <v>0</v>
      </c>
      <c r="AO266" s="2143">
        <f t="shared" si="585"/>
        <v>0</v>
      </c>
      <c r="AP266" s="2233">
        <f t="shared" ref="AP266:AS266" si="590">SUM(AP267:AP268)</f>
        <v>101530177.0072297</v>
      </c>
      <c r="AQ266" s="2234">
        <f t="shared" si="590"/>
        <v>57862626.020000003</v>
      </c>
      <c r="AR266" s="2233">
        <f t="shared" si="590"/>
        <v>0</v>
      </c>
      <c r="AS266" s="2233">
        <f t="shared" si="590"/>
        <v>0</v>
      </c>
      <c r="AT266" s="2143">
        <f t="shared" si="586"/>
        <v>0.93403628778702164</v>
      </c>
      <c r="AU266" s="2143">
        <f t="shared" si="586"/>
        <v>0.53576505574074074</v>
      </c>
      <c r="AV266" s="2143">
        <f t="shared" si="586"/>
        <v>0</v>
      </c>
      <c r="AW266" s="2143">
        <f t="shared" si="583"/>
        <v>0</v>
      </c>
      <c r="AX266" s="2136">
        <f t="shared" ref="AX266:BE266" si="591">SUM(AX267:AX268)</f>
        <v>6420286.0437272042</v>
      </c>
      <c r="AY266" s="2136">
        <f t="shared" si="591"/>
        <v>2633632.9799999967</v>
      </c>
      <c r="AZ266" s="2136">
        <f t="shared" si="591"/>
        <v>0</v>
      </c>
      <c r="BA266" s="2136">
        <f t="shared" si="591"/>
        <v>0</v>
      </c>
      <c r="BB266" s="2136">
        <f t="shared" si="591"/>
        <v>0</v>
      </c>
      <c r="BC266" s="2136">
        <f t="shared" si="591"/>
        <v>0</v>
      </c>
      <c r="BD266" s="2136">
        <f t="shared" si="591"/>
        <v>0</v>
      </c>
      <c r="BE266" s="2136">
        <f t="shared" si="591"/>
        <v>0</v>
      </c>
      <c r="BF266" s="2142">
        <f t="shared" si="587"/>
        <v>0</v>
      </c>
      <c r="BG266" s="2142">
        <f t="shared" si="587"/>
        <v>0</v>
      </c>
      <c r="BH266" s="2142" t="e">
        <f t="shared" si="587"/>
        <v>#DIV/0!</v>
      </c>
      <c r="BI266" s="2142" t="e">
        <f t="shared" si="584"/>
        <v>#DIV/0!</v>
      </c>
      <c r="BJ266" s="2136">
        <f t="shared" si="491"/>
        <v>456700463.07063878</v>
      </c>
      <c r="BK266" s="2144">
        <f t="shared" si="492"/>
        <v>168446722.0509569</v>
      </c>
      <c r="BL266" s="2145">
        <f t="shared" si="489"/>
        <v>0.3688341389417486</v>
      </c>
      <c r="BM266" s="2144">
        <f t="shared" si="490"/>
        <v>159392803.0272297</v>
      </c>
      <c r="BN266" s="2146">
        <f t="shared" si="471"/>
        <v>0.34900950604592684</v>
      </c>
      <c r="BO266" s="2136"/>
      <c r="BP266" s="2235"/>
      <c r="BQ266" s="2147"/>
      <c r="BR266" s="2147"/>
    </row>
    <row r="267" spans="1:70" ht="12.75" customHeight="1" thickBot="1">
      <c r="A267" s="1851" t="s">
        <v>2802</v>
      </c>
      <c r="B267" s="1867" t="s">
        <v>2803</v>
      </c>
      <c r="C267" s="1025" t="s">
        <v>2181</v>
      </c>
      <c r="D267" s="1790">
        <v>1</v>
      </c>
      <c r="E267" s="1791">
        <v>1</v>
      </c>
      <c r="F267" s="2236">
        <v>1</v>
      </c>
      <c r="G267" s="2237">
        <v>1</v>
      </c>
      <c r="H267" s="1627">
        <v>1</v>
      </c>
      <c r="I267" s="1030">
        <v>1</v>
      </c>
      <c r="J267" s="1030"/>
      <c r="K267" s="1030"/>
      <c r="L267" s="1030"/>
      <c r="M267" s="1031"/>
      <c r="N267" s="1031"/>
      <c r="O267" s="1031"/>
      <c r="P267" s="1032">
        <f t="shared" ref="P267:S268" si="592">IF((H267+L267)/D267&gt;=100%,100%,(H267+L267)/D267)</f>
        <v>1</v>
      </c>
      <c r="Q267" s="1032">
        <f t="shared" si="592"/>
        <v>1</v>
      </c>
      <c r="R267" s="1032">
        <f t="shared" si="592"/>
        <v>0</v>
      </c>
      <c r="S267" s="1032">
        <f t="shared" si="592"/>
        <v>0</v>
      </c>
      <c r="T267" s="1880" t="s">
        <v>2804</v>
      </c>
      <c r="U267" s="1034">
        <v>46022</v>
      </c>
      <c r="V267" s="1035">
        <f t="shared" ref="V267:V268" si="593">SUM(D267:G267)</f>
        <v>4</v>
      </c>
      <c r="W267" s="1035">
        <f t="shared" ref="W267:W268" si="594">SUM(H267:N267)</f>
        <v>2</v>
      </c>
      <c r="X267" s="1279">
        <f t="shared" si="549"/>
        <v>0.5</v>
      </c>
      <c r="Y267" s="1037">
        <v>0.5</v>
      </c>
      <c r="Z267" s="1037">
        <v>0.5</v>
      </c>
      <c r="AA267" s="1037">
        <v>0.5</v>
      </c>
      <c r="AB267" s="1037">
        <v>0.5</v>
      </c>
      <c r="AC267" s="1037">
        <v>0.5</v>
      </c>
      <c r="AD267" s="1137">
        <f>42000000+(24700463.0706388/2)</f>
        <v>54350231.535319403</v>
      </c>
      <c r="AE267" s="1137">
        <v>54000000</v>
      </c>
      <c r="AF267" s="1137">
        <v>60000000</v>
      </c>
      <c r="AG267" s="1137">
        <v>60000000</v>
      </c>
      <c r="AH267" s="1137">
        <f>41250000+(24700463.0509569/2)</f>
        <v>53600231.525478452</v>
      </c>
      <c r="AI267" s="1137">
        <v>30248131</v>
      </c>
      <c r="AJ267" s="1137"/>
      <c r="AK267" s="1137"/>
      <c r="AL267" s="1048">
        <f t="shared" si="585"/>
        <v>0.98620061058335029</v>
      </c>
      <c r="AM267" s="1048">
        <f t="shared" si="585"/>
        <v>0.56015057407407409</v>
      </c>
      <c r="AN267" s="1048">
        <f t="shared" si="585"/>
        <v>0</v>
      </c>
      <c r="AO267" s="1048">
        <f t="shared" si="585"/>
        <v>0</v>
      </c>
      <c r="AP267" s="1283">
        <f>39934265+(21183371.0072297/2)</f>
        <v>50525950.50361485</v>
      </c>
      <c r="AQ267" s="1041">
        <v>28931314.510000002</v>
      </c>
      <c r="AR267" s="1552"/>
      <c r="AS267" s="1042"/>
      <c r="AT267" s="1043">
        <f t="shared" si="586"/>
        <v>0.92963634332966272</v>
      </c>
      <c r="AU267" s="1043">
        <f t="shared" si="586"/>
        <v>0.53576508351851859</v>
      </c>
      <c r="AV267" s="1043">
        <f t="shared" si="586"/>
        <v>0</v>
      </c>
      <c r="AW267" s="1043">
        <f t="shared" si="583"/>
        <v>0</v>
      </c>
      <c r="AX267" s="1044">
        <f t="shared" ref="AX267:BA268" si="595">+AH267-AP267</f>
        <v>3074281.0218636021</v>
      </c>
      <c r="AY267" s="1044">
        <f t="shared" si="595"/>
        <v>1316816.4899999984</v>
      </c>
      <c r="AZ267" s="1044">
        <f t="shared" si="595"/>
        <v>0</v>
      </c>
      <c r="BA267" s="1044">
        <f t="shared" si="595"/>
        <v>0</v>
      </c>
      <c r="BB267" s="1283"/>
      <c r="BC267" s="1283"/>
      <c r="BD267" s="1283"/>
      <c r="BE267" s="1283"/>
      <c r="BF267" s="1045">
        <f t="shared" si="587"/>
        <v>0</v>
      </c>
      <c r="BG267" s="1045">
        <f t="shared" si="587"/>
        <v>0</v>
      </c>
      <c r="BH267" s="1045" t="e">
        <f t="shared" si="587"/>
        <v>#DIV/0!</v>
      </c>
      <c r="BI267" s="1045" t="e">
        <f t="shared" si="584"/>
        <v>#DIV/0!</v>
      </c>
      <c r="BJ267" s="1283">
        <f t="shared" si="491"/>
        <v>228350231.53531939</v>
      </c>
      <c r="BK267" s="1046">
        <f t="shared" si="492"/>
        <v>83848362.525478452</v>
      </c>
      <c r="BL267" s="1047">
        <f t="shared" si="489"/>
        <v>0.36719193127907757</v>
      </c>
      <c r="BM267" s="1046">
        <f t="shared" si="490"/>
        <v>79457265.013614848</v>
      </c>
      <c r="BN267" s="1048">
        <f t="shared" si="471"/>
        <v>0.34796227040971944</v>
      </c>
      <c r="BO267" s="2106" t="s">
        <v>2653</v>
      </c>
      <c r="BP267" s="1409" t="s">
        <v>2637</v>
      </c>
      <c r="BQ267" s="1794" t="s">
        <v>2193</v>
      </c>
      <c r="BR267" s="1146" t="s">
        <v>596</v>
      </c>
    </row>
    <row r="268" spans="1:70" ht="12.75" customHeight="1" thickBot="1">
      <c r="A268" s="1795" t="s">
        <v>2805</v>
      </c>
      <c r="B268" s="1796" t="s">
        <v>2806</v>
      </c>
      <c r="C268" s="1152" t="s">
        <v>2181</v>
      </c>
      <c r="D268" s="1797">
        <v>1</v>
      </c>
      <c r="E268" s="1798">
        <v>1</v>
      </c>
      <c r="F268" s="2229">
        <v>1</v>
      </c>
      <c r="G268" s="2230">
        <v>1</v>
      </c>
      <c r="H268" s="1634">
        <v>1</v>
      </c>
      <c r="I268" s="1182">
        <v>1</v>
      </c>
      <c r="J268" s="1182"/>
      <c r="K268" s="1182"/>
      <c r="L268" s="1182"/>
      <c r="M268" s="1101"/>
      <c r="N268" s="1101"/>
      <c r="O268" s="1101"/>
      <c r="P268" s="1102">
        <f t="shared" si="592"/>
        <v>1</v>
      </c>
      <c r="Q268" s="1102">
        <f t="shared" si="592"/>
        <v>1</v>
      </c>
      <c r="R268" s="1102">
        <f t="shared" si="592"/>
        <v>0</v>
      </c>
      <c r="S268" s="1102">
        <f t="shared" si="592"/>
        <v>0</v>
      </c>
      <c r="T268" s="1686" t="s">
        <v>2807</v>
      </c>
      <c r="U268" s="1034">
        <v>46022</v>
      </c>
      <c r="V268" s="1035">
        <f t="shared" si="593"/>
        <v>4</v>
      </c>
      <c r="W268" s="1035">
        <f t="shared" si="594"/>
        <v>2</v>
      </c>
      <c r="X268" s="1291">
        <f t="shared" si="549"/>
        <v>0.5</v>
      </c>
      <c r="Y268" s="1104">
        <v>0.5</v>
      </c>
      <c r="Z268" s="1104">
        <v>0.5</v>
      </c>
      <c r="AA268" s="1104">
        <v>0.5</v>
      </c>
      <c r="AB268" s="1104">
        <v>0.5</v>
      </c>
      <c r="AC268" s="1104">
        <v>0.5</v>
      </c>
      <c r="AD268" s="1106">
        <f>42000000+(24700463.0706388/2)</f>
        <v>54350231.535319403</v>
      </c>
      <c r="AE268" s="1106">
        <v>54000000</v>
      </c>
      <c r="AF268" s="1106">
        <v>60000000</v>
      </c>
      <c r="AG268" s="1106">
        <v>60000000</v>
      </c>
      <c r="AH268" s="1106">
        <f>42000000+(24700463.0509569/2)</f>
        <v>54350231.525478452</v>
      </c>
      <c r="AI268" s="1106">
        <v>30248128</v>
      </c>
      <c r="AJ268" s="1106"/>
      <c r="AK268" s="1106"/>
      <c r="AL268" s="1112">
        <f t="shared" si="585"/>
        <v>0.9999999998189345</v>
      </c>
      <c r="AM268" s="1112">
        <f t="shared" si="585"/>
        <v>0.56015051851851849</v>
      </c>
      <c r="AN268" s="1112">
        <f t="shared" si="585"/>
        <v>0</v>
      </c>
      <c r="AO268" s="1112">
        <f t="shared" si="585"/>
        <v>0</v>
      </c>
      <c r="AP268" s="1107">
        <f>40412541+(21183371.0072297/2)</f>
        <v>51004226.50361485</v>
      </c>
      <c r="AQ268" s="1041">
        <v>28931311.510000002</v>
      </c>
      <c r="AR268" s="1567"/>
      <c r="AS268" s="1188"/>
      <c r="AT268" s="1189">
        <f t="shared" si="586"/>
        <v>0.93843623224438044</v>
      </c>
      <c r="AU268" s="1189">
        <f t="shared" si="586"/>
        <v>0.53576502796296299</v>
      </c>
      <c r="AV268" s="1189">
        <f t="shared" si="586"/>
        <v>0</v>
      </c>
      <c r="AW268" s="1189">
        <f t="shared" si="583"/>
        <v>0</v>
      </c>
      <c r="AX268" s="1044">
        <f t="shared" si="595"/>
        <v>3346005.0218636021</v>
      </c>
      <c r="AY268" s="1044">
        <f t="shared" si="595"/>
        <v>1316816.4899999984</v>
      </c>
      <c r="AZ268" s="1044">
        <f t="shared" si="595"/>
        <v>0</v>
      </c>
      <c r="BA268" s="1044">
        <f t="shared" si="595"/>
        <v>0</v>
      </c>
      <c r="BB268" s="1107"/>
      <c r="BC268" s="1107"/>
      <c r="BD268" s="1107"/>
      <c r="BE268" s="1107"/>
      <c r="BF268" s="1190">
        <f t="shared" si="587"/>
        <v>0</v>
      </c>
      <c r="BG268" s="1190">
        <f t="shared" si="587"/>
        <v>0</v>
      </c>
      <c r="BH268" s="1190" t="e">
        <f t="shared" si="587"/>
        <v>#DIV/0!</v>
      </c>
      <c r="BI268" s="1190" t="e">
        <f t="shared" si="584"/>
        <v>#DIV/0!</v>
      </c>
      <c r="BJ268" s="1107">
        <f t="shared" si="491"/>
        <v>228350231.53531939</v>
      </c>
      <c r="BK268" s="1110">
        <f t="shared" si="492"/>
        <v>84598359.525478452</v>
      </c>
      <c r="BL268" s="1111">
        <f t="shared" si="489"/>
        <v>0.37047634660441958</v>
      </c>
      <c r="BM268" s="1110">
        <f t="shared" si="490"/>
        <v>79935538.013614848</v>
      </c>
      <c r="BN268" s="1112">
        <f t="shared" si="471"/>
        <v>0.35005674168213424</v>
      </c>
      <c r="BO268" s="2106" t="s">
        <v>2653</v>
      </c>
      <c r="BP268" s="1435" t="s">
        <v>2637</v>
      </c>
      <c r="BQ268" s="1803" t="s">
        <v>2193</v>
      </c>
      <c r="BR268" s="1191" t="s">
        <v>596</v>
      </c>
    </row>
    <row r="269" spans="1:70" ht="12.75" customHeight="1">
      <c r="A269" s="2118" t="s">
        <v>2808</v>
      </c>
      <c r="B269" s="2118"/>
      <c r="C269" s="2119"/>
      <c r="D269" s="2119"/>
      <c r="E269" s="2120"/>
      <c r="F269" s="2120"/>
      <c r="G269" s="2120"/>
      <c r="H269" s="2120"/>
      <c r="I269" s="2120"/>
      <c r="J269" s="2120"/>
      <c r="K269" s="2120"/>
      <c r="L269" s="2120"/>
      <c r="M269" s="2120"/>
      <c r="N269" s="2120"/>
      <c r="O269" s="2120"/>
      <c r="P269" s="2121">
        <f>+(P270*Z270)+(P273*Z273)+(P276*Z276)</f>
        <v>1</v>
      </c>
      <c r="Q269" s="2121">
        <f t="shared" ref="Q269:S269" si="596">+(Q270*AA270)+(Q273*AA273)+(Q276*AA276)</f>
        <v>1</v>
      </c>
      <c r="R269" s="2121" t="e">
        <f t="shared" si="596"/>
        <v>#DIV/0!</v>
      </c>
      <c r="S269" s="2121" t="e">
        <f t="shared" si="596"/>
        <v>#DIV/0!</v>
      </c>
      <c r="T269" s="2122"/>
      <c r="U269" s="2118"/>
      <c r="V269" s="2123"/>
      <c r="W269" s="2124">
        <f t="shared" si="544"/>
        <v>0</v>
      </c>
      <c r="X269" s="2121">
        <f>+(X270*Y270)+(X273*Y273)+(X276*Y276)</f>
        <v>0.65330308080808086</v>
      </c>
      <c r="Y269" s="2125">
        <v>0.1</v>
      </c>
      <c r="Z269" s="2125">
        <v>0.1</v>
      </c>
      <c r="AA269" s="2125">
        <v>0.1</v>
      </c>
      <c r="AB269" s="2125">
        <v>0.1</v>
      </c>
      <c r="AC269" s="2125">
        <v>0.1</v>
      </c>
      <c r="AD269" s="2119">
        <f>+AD270+AD273+AD276</f>
        <v>1581555108.9590998</v>
      </c>
      <c r="AE269" s="2119">
        <f>+AE270+AE273+AE276</f>
        <v>1016692200</v>
      </c>
      <c r="AF269" s="2119">
        <f t="shared" ref="AF269:AK269" si="597">+AF270+AF273+AF276</f>
        <v>1132417340</v>
      </c>
      <c r="AG269" s="2119">
        <f t="shared" si="597"/>
        <v>769013032</v>
      </c>
      <c r="AH269" s="2119">
        <f t="shared" si="597"/>
        <v>1538678603.3245223</v>
      </c>
      <c r="AI269" s="2119">
        <f t="shared" si="597"/>
        <v>896769733.38999999</v>
      </c>
      <c r="AJ269" s="2119">
        <f t="shared" si="597"/>
        <v>0</v>
      </c>
      <c r="AK269" s="2119">
        <f t="shared" si="597"/>
        <v>0</v>
      </c>
      <c r="AL269" s="2126">
        <f t="shared" si="585"/>
        <v>0.97288965437138852</v>
      </c>
      <c r="AM269" s="2126">
        <f t="shared" si="585"/>
        <v>0.88204643784028247</v>
      </c>
      <c r="AN269" s="2126">
        <f t="shared" si="585"/>
        <v>0</v>
      </c>
      <c r="AO269" s="2126">
        <f t="shared" si="585"/>
        <v>0</v>
      </c>
      <c r="AP269" s="2119">
        <f t="shared" ref="AP269:AS269" si="598">+AP270+AP273+AP276</f>
        <v>1171592565.1939297</v>
      </c>
      <c r="AQ269" s="2127">
        <f t="shared" si="598"/>
        <v>339077972.15000004</v>
      </c>
      <c r="AR269" s="2119">
        <f t="shared" si="598"/>
        <v>0</v>
      </c>
      <c r="AS269" s="2119">
        <f t="shared" si="598"/>
        <v>0</v>
      </c>
      <c r="AT269" s="2126">
        <f t="shared" si="586"/>
        <v>0.74078516680017126</v>
      </c>
      <c r="AU269" s="2126">
        <f t="shared" si="586"/>
        <v>0.33351094082358462</v>
      </c>
      <c r="AV269" s="2126">
        <f t="shared" si="586"/>
        <v>0</v>
      </c>
      <c r="AW269" s="2126">
        <f t="shared" si="583"/>
        <v>0</v>
      </c>
      <c r="AX269" s="2119">
        <f t="shared" ref="AX269:BE269" si="599">+AX270+AX273+AX276</f>
        <v>367086038.1305927</v>
      </c>
      <c r="AY269" s="2119">
        <f t="shared" si="599"/>
        <v>557691761.24000001</v>
      </c>
      <c r="AZ269" s="2119">
        <f t="shared" si="599"/>
        <v>0</v>
      </c>
      <c r="BA269" s="2119">
        <f t="shared" si="599"/>
        <v>0</v>
      </c>
      <c r="BB269" s="2119">
        <f t="shared" si="599"/>
        <v>0</v>
      </c>
      <c r="BC269" s="2119">
        <f t="shared" si="599"/>
        <v>0</v>
      </c>
      <c r="BD269" s="2119">
        <f t="shared" si="599"/>
        <v>0</v>
      </c>
      <c r="BE269" s="2119">
        <f t="shared" si="599"/>
        <v>0</v>
      </c>
      <c r="BF269" s="2125">
        <f t="shared" si="587"/>
        <v>0</v>
      </c>
      <c r="BG269" s="2125">
        <f t="shared" si="587"/>
        <v>0</v>
      </c>
      <c r="BH269" s="2125" t="e">
        <f t="shared" si="587"/>
        <v>#DIV/0!</v>
      </c>
      <c r="BI269" s="2125" t="e">
        <f t="shared" si="584"/>
        <v>#DIV/0!</v>
      </c>
      <c r="BJ269" s="2119">
        <f t="shared" si="491"/>
        <v>4499677680.9590998</v>
      </c>
      <c r="BK269" s="2127">
        <f t="shared" si="492"/>
        <v>2435448336.7145224</v>
      </c>
      <c r="BL269" s="2128">
        <f t="shared" si="489"/>
        <v>0.54124950927494209</v>
      </c>
      <c r="BM269" s="2127">
        <f t="shared" si="490"/>
        <v>1510670537.3439298</v>
      </c>
      <c r="BN269" s="2129">
        <f t="shared" si="471"/>
        <v>0.33572861090395534</v>
      </c>
      <c r="BO269" s="2119"/>
      <c r="BP269" s="2130"/>
      <c r="BQ269" s="2130"/>
      <c r="BR269" s="2130"/>
    </row>
    <row r="270" spans="1:70" ht="12.75" customHeight="1" thickBot="1">
      <c r="A270" s="2081" t="s">
        <v>2809</v>
      </c>
      <c r="B270" s="2081"/>
      <c r="C270" s="2082"/>
      <c r="D270" s="2082"/>
      <c r="E270" s="2083"/>
      <c r="F270" s="2083"/>
      <c r="G270" s="2083"/>
      <c r="H270" s="2083"/>
      <c r="I270" s="2083"/>
      <c r="J270" s="2083"/>
      <c r="K270" s="2083"/>
      <c r="L270" s="2083"/>
      <c r="M270" s="2083"/>
      <c r="N270" s="2083"/>
      <c r="O270" s="2083"/>
      <c r="P270" s="2084">
        <f>+SUMPRODUCT(P271:P272,Z271:Z272)</f>
        <v>1</v>
      </c>
      <c r="Q270" s="2084">
        <f t="shared" ref="Q270:S270" si="600">+SUMPRODUCT(Q271:Q272,AA271:AA272)</f>
        <v>1</v>
      </c>
      <c r="R270" s="2084" t="e">
        <f t="shared" si="600"/>
        <v>#DIV/0!</v>
      </c>
      <c r="S270" s="2084">
        <f t="shared" si="600"/>
        <v>0</v>
      </c>
      <c r="T270" s="2087"/>
      <c r="U270" s="2081"/>
      <c r="V270" s="2088"/>
      <c r="W270" s="2089">
        <f t="shared" si="544"/>
        <v>0</v>
      </c>
      <c r="X270" s="2084">
        <f>+SUMPRODUCT(X271:X272,Y271:Y272)</f>
        <v>0.36363636363636365</v>
      </c>
      <c r="Y270" s="2085">
        <v>0.1</v>
      </c>
      <c r="Z270" s="2085">
        <v>0.1</v>
      </c>
      <c r="AA270" s="2085">
        <v>0.1</v>
      </c>
      <c r="AB270" s="2085">
        <v>0.1</v>
      </c>
      <c r="AC270" s="2085">
        <v>0.1</v>
      </c>
      <c r="AD270" s="2082">
        <f>SUM(AD271:AD272)</f>
        <v>157615671.45242631</v>
      </c>
      <c r="AE270" s="2082">
        <f>SUM(AE271:AE272)</f>
        <v>54000000</v>
      </c>
      <c r="AF270" s="2082">
        <f t="shared" ref="AF270:AK270" si="601">SUM(AF271:AF272)</f>
        <v>60000000</v>
      </c>
      <c r="AG270" s="2082">
        <f t="shared" si="601"/>
        <v>200000000</v>
      </c>
      <c r="AH270" s="2082">
        <f t="shared" si="601"/>
        <v>129550003.42388749</v>
      </c>
      <c r="AI270" s="2082">
        <f t="shared" si="601"/>
        <v>5400000</v>
      </c>
      <c r="AJ270" s="2082">
        <f t="shared" si="601"/>
        <v>0</v>
      </c>
      <c r="AK270" s="2082">
        <f t="shared" si="601"/>
        <v>0</v>
      </c>
      <c r="AL270" s="2090">
        <f t="shared" si="585"/>
        <v>0.82193605642183887</v>
      </c>
      <c r="AM270" s="2090">
        <f t="shared" si="585"/>
        <v>0.1</v>
      </c>
      <c r="AN270" s="2090">
        <f t="shared" si="585"/>
        <v>0</v>
      </c>
      <c r="AO270" s="2090">
        <f t="shared" si="585"/>
        <v>0</v>
      </c>
      <c r="AP270" s="2082">
        <f t="shared" ref="AP270:AS270" si="602">SUM(AP271:AP272)</f>
        <v>38345372.960483104</v>
      </c>
      <c r="AQ270" s="2091">
        <f t="shared" si="602"/>
        <v>4083183.51</v>
      </c>
      <c r="AR270" s="2082">
        <f t="shared" si="602"/>
        <v>0</v>
      </c>
      <c r="AS270" s="2082">
        <f t="shared" si="602"/>
        <v>0</v>
      </c>
      <c r="AT270" s="2090">
        <f t="shared" si="586"/>
        <v>0.24328401235188737</v>
      </c>
      <c r="AU270" s="2090">
        <f t="shared" si="586"/>
        <v>7.5614509444444436E-2</v>
      </c>
      <c r="AV270" s="2090">
        <f t="shared" si="586"/>
        <v>0</v>
      </c>
      <c r="AW270" s="2090">
        <f t="shared" si="583"/>
        <v>0</v>
      </c>
      <c r="AX270" s="2082">
        <f t="shared" ref="AX270:BE270" si="603">SUM(AX271:AX272)</f>
        <v>91204630.463404387</v>
      </c>
      <c r="AY270" s="2082">
        <f t="shared" si="603"/>
        <v>1316816.4900000002</v>
      </c>
      <c r="AZ270" s="2082">
        <f t="shared" si="603"/>
        <v>0</v>
      </c>
      <c r="BA270" s="2082">
        <f t="shared" si="603"/>
        <v>0</v>
      </c>
      <c r="BB270" s="2082">
        <f t="shared" si="603"/>
        <v>0</v>
      </c>
      <c r="BC270" s="2082">
        <f t="shared" si="603"/>
        <v>0</v>
      </c>
      <c r="BD270" s="2082">
        <f t="shared" si="603"/>
        <v>0</v>
      </c>
      <c r="BE270" s="2082">
        <f t="shared" si="603"/>
        <v>0</v>
      </c>
      <c r="BF270" s="2085">
        <f t="shared" si="587"/>
        <v>0</v>
      </c>
      <c r="BG270" s="2085">
        <f t="shared" si="587"/>
        <v>0</v>
      </c>
      <c r="BH270" s="2085" t="e">
        <f t="shared" si="587"/>
        <v>#DIV/0!</v>
      </c>
      <c r="BI270" s="2085" t="e">
        <f t="shared" si="584"/>
        <v>#DIV/0!</v>
      </c>
      <c r="BJ270" s="2082">
        <f t="shared" si="491"/>
        <v>471615671.45242631</v>
      </c>
      <c r="BK270" s="2091">
        <f t="shared" si="492"/>
        <v>134950003.42388749</v>
      </c>
      <c r="BL270" s="2092">
        <f t="shared" si="489"/>
        <v>0.28614401851466131</v>
      </c>
      <c r="BM270" s="2091">
        <f t="shared" si="490"/>
        <v>42428556.470483102</v>
      </c>
      <c r="BN270" s="2093">
        <f t="shared" si="471"/>
        <v>8.9964263358375346E-2</v>
      </c>
      <c r="BO270" s="2082"/>
      <c r="BP270" s="2201"/>
      <c r="BQ270" s="2094"/>
      <c r="BR270" s="2094"/>
    </row>
    <row r="271" spans="1:70" ht="12.75" customHeight="1" thickBot="1">
      <c r="A271" s="1851" t="s">
        <v>2810</v>
      </c>
      <c r="B271" s="1867" t="s">
        <v>2811</v>
      </c>
      <c r="C271" s="1025" t="s">
        <v>2181</v>
      </c>
      <c r="D271" s="2238">
        <v>1</v>
      </c>
      <c r="E271" s="2236">
        <v>0</v>
      </c>
      <c r="F271" s="2236">
        <v>0</v>
      </c>
      <c r="G271" s="2237">
        <v>1</v>
      </c>
      <c r="H271" s="1627">
        <v>1</v>
      </c>
      <c r="I271" s="1030"/>
      <c r="J271" s="1030"/>
      <c r="K271" s="1030"/>
      <c r="L271" s="1030"/>
      <c r="M271" s="1031"/>
      <c r="N271" s="1031"/>
      <c r="O271" s="1031"/>
      <c r="P271" s="1032">
        <f t="shared" ref="P271:Q272" si="604">IF((H271+L271)/D271&gt;=100%,100%,(H271+L271)/D271)</f>
        <v>1</v>
      </c>
      <c r="Q271" s="1032"/>
      <c r="R271" s="1032" t="e">
        <f t="shared" ref="R271:S272" si="605">IF((J271+N271)/F271&gt;=100%,100%,(J271+N271)/F271)</f>
        <v>#DIV/0!</v>
      </c>
      <c r="S271" s="1032">
        <f t="shared" si="605"/>
        <v>0</v>
      </c>
      <c r="T271" s="1702"/>
      <c r="U271" s="1034">
        <v>46022</v>
      </c>
      <c r="V271" s="1035">
        <f t="shared" ref="V271:V272" si="606">SUM(D271:G271)</f>
        <v>2</v>
      </c>
      <c r="W271" s="1035">
        <f t="shared" ref="W271:W272" si="607">SUM(H271:N271)</f>
        <v>1</v>
      </c>
      <c r="X271" s="1279">
        <f t="shared" si="549"/>
        <v>0.5</v>
      </c>
      <c r="Y271" s="1037">
        <v>0.5</v>
      </c>
      <c r="Z271" s="1037">
        <v>0.5</v>
      </c>
      <c r="AA271" s="1037">
        <v>0</v>
      </c>
      <c r="AB271" s="1037">
        <v>0</v>
      </c>
      <c r="AC271" s="1037">
        <v>0</v>
      </c>
      <c r="AD271" s="1137">
        <f>121800000/2+(35815671.4524263/2)</f>
        <v>78807835.726213157</v>
      </c>
      <c r="AE271" s="1137">
        <v>0</v>
      </c>
      <c r="AF271" s="1137">
        <v>0</v>
      </c>
      <c r="AG271" s="1137">
        <v>140000000</v>
      </c>
      <c r="AH271" s="1137">
        <f>93734332/2+(35815671.4238875/2)</f>
        <v>64775001.711943746</v>
      </c>
      <c r="AI271" s="1137"/>
      <c r="AJ271" s="1137"/>
      <c r="AK271" s="1137"/>
      <c r="AL271" s="1048">
        <f t="shared" si="585"/>
        <v>0.82193605642183887</v>
      </c>
      <c r="AM271" s="1048" t="e">
        <f t="shared" si="585"/>
        <v>#DIV/0!</v>
      </c>
      <c r="AN271" s="1048" t="e">
        <f t="shared" si="585"/>
        <v>#DIV/0!</v>
      </c>
      <c r="AO271" s="1048">
        <f t="shared" si="585"/>
        <v>0</v>
      </c>
      <c r="AP271" s="1283">
        <f>7629485/2+(30715887.9604831/2)</f>
        <v>19172686.480241552</v>
      </c>
      <c r="AQ271" s="1041"/>
      <c r="AR271" s="1552"/>
      <c r="AS271" s="1042"/>
      <c r="AT271" s="1043">
        <f t="shared" si="586"/>
        <v>0.24328401235188737</v>
      </c>
      <c r="AU271" s="1043" t="e">
        <f t="shared" si="586"/>
        <v>#DIV/0!</v>
      </c>
      <c r="AV271" s="1043" t="e">
        <f t="shared" si="586"/>
        <v>#DIV/0!</v>
      </c>
      <c r="AW271" s="1043">
        <f t="shared" si="583"/>
        <v>0</v>
      </c>
      <c r="AX271" s="1044">
        <f t="shared" ref="AX271:BA272" si="608">+AH271-AP271</f>
        <v>45602315.231702194</v>
      </c>
      <c r="AY271" s="1044">
        <f t="shared" si="608"/>
        <v>0</v>
      </c>
      <c r="AZ271" s="1044">
        <f t="shared" si="608"/>
        <v>0</v>
      </c>
      <c r="BA271" s="1044">
        <f t="shared" si="608"/>
        <v>0</v>
      </c>
      <c r="BB271" s="1283"/>
      <c r="BC271" s="1283"/>
      <c r="BD271" s="1283"/>
      <c r="BE271" s="1283"/>
      <c r="BF271" s="1045">
        <f t="shared" si="587"/>
        <v>0</v>
      </c>
      <c r="BG271" s="1045" t="e">
        <f t="shared" si="587"/>
        <v>#DIV/0!</v>
      </c>
      <c r="BH271" s="1045" t="e">
        <f t="shared" si="587"/>
        <v>#DIV/0!</v>
      </c>
      <c r="BI271" s="1045" t="e">
        <f t="shared" si="584"/>
        <v>#DIV/0!</v>
      </c>
      <c r="BJ271" s="1283">
        <f t="shared" si="491"/>
        <v>218807835.72621316</v>
      </c>
      <c r="BK271" s="1046">
        <f t="shared" si="492"/>
        <v>64775001.711943746</v>
      </c>
      <c r="BL271" s="1047">
        <f t="shared" si="489"/>
        <v>0.29603602401604351</v>
      </c>
      <c r="BM271" s="1046">
        <f t="shared" si="490"/>
        <v>19172686.480241552</v>
      </c>
      <c r="BN271" s="1048">
        <f t="shared" si="471"/>
        <v>8.7623399850413425E-2</v>
      </c>
      <c r="BO271" s="2106" t="s">
        <v>2653</v>
      </c>
      <c r="BP271" s="1409" t="s">
        <v>2637</v>
      </c>
      <c r="BQ271" s="1794" t="s">
        <v>2193</v>
      </c>
      <c r="BR271" s="1146" t="s">
        <v>596</v>
      </c>
    </row>
    <row r="272" spans="1:70" ht="12.75" customHeight="1" thickBot="1">
      <c r="A272" s="1856" t="s">
        <v>2812</v>
      </c>
      <c r="B272" s="1796" t="s">
        <v>2813</v>
      </c>
      <c r="C272" s="1096" t="s">
        <v>597</v>
      </c>
      <c r="D272" s="2239">
        <v>0.1</v>
      </c>
      <c r="E272" s="2173">
        <v>0.4</v>
      </c>
      <c r="F272" s="2173">
        <v>0.8</v>
      </c>
      <c r="G272" s="2174">
        <v>0.9</v>
      </c>
      <c r="H272" s="1877">
        <v>0.1</v>
      </c>
      <c r="I272" s="1878">
        <v>0.4</v>
      </c>
      <c r="J272" s="1182"/>
      <c r="K272" s="1182"/>
      <c r="L272" s="1182"/>
      <c r="M272" s="1101"/>
      <c r="N272" s="1101"/>
      <c r="O272" s="1101"/>
      <c r="P272" s="1102">
        <f t="shared" si="604"/>
        <v>1</v>
      </c>
      <c r="Q272" s="1102">
        <f t="shared" si="604"/>
        <v>1</v>
      </c>
      <c r="R272" s="1102">
        <f t="shared" si="605"/>
        <v>0</v>
      </c>
      <c r="S272" s="1102">
        <f t="shared" si="605"/>
        <v>0</v>
      </c>
      <c r="T272" s="2240" t="s">
        <v>2814</v>
      </c>
      <c r="U272" s="1034">
        <v>46022</v>
      </c>
      <c r="V272" s="1035">
        <f t="shared" si="606"/>
        <v>2.2000000000000002</v>
      </c>
      <c r="W272" s="1035">
        <f t="shared" si="607"/>
        <v>0.5</v>
      </c>
      <c r="X272" s="1291">
        <f t="shared" si="549"/>
        <v>0.22727272727272727</v>
      </c>
      <c r="Y272" s="1104">
        <v>0.5</v>
      </c>
      <c r="Z272" s="1104">
        <v>0.5</v>
      </c>
      <c r="AA272" s="1104">
        <v>1</v>
      </c>
      <c r="AB272" s="1104">
        <v>1</v>
      </c>
      <c r="AC272" s="1104">
        <v>1</v>
      </c>
      <c r="AD272" s="1106">
        <f>121800000/2+(35815671.4524263/2)</f>
        <v>78807835.726213157</v>
      </c>
      <c r="AE272" s="1137">
        <v>54000000</v>
      </c>
      <c r="AF272" s="1137">
        <v>60000000</v>
      </c>
      <c r="AG272" s="1137">
        <v>60000000</v>
      </c>
      <c r="AH272" s="1137">
        <f>93734332/2+(35815671.4238875/2)</f>
        <v>64775001.711943746</v>
      </c>
      <c r="AI272" s="1137">
        <v>5400000</v>
      </c>
      <c r="AJ272" s="1137"/>
      <c r="AK272" s="1137"/>
      <c r="AL272" s="1112">
        <f t="shared" si="585"/>
        <v>0.82193605642183887</v>
      </c>
      <c r="AM272" s="1112">
        <f t="shared" si="585"/>
        <v>0.1</v>
      </c>
      <c r="AN272" s="1112">
        <f t="shared" si="585"/>
        <v>0</v>
      </c>
      <c r="AO272" s="1112">
        <f t="shared" si="585"/>
        <v>0</v>
      </c>
      <c r="AP272" s="1283">
        <f>7629485/2+(30715887.9604831/2)</f>
        <v>19172686.480241552</v>
      </c>
      <c r="AQ272" s="1041">
        <v>4083183.51</v>
      </c>
      <c r="AR272" s="1567"/>
      <c r="AS272" s="1188"/>
      <c r="AT272" s="1189">
        <f t="shared" si="586"/>
        <v>0.24328401235188737</v>
      </c>
      <c r="AU272" s="1189">
        <f t="shared" si="586"/>
        <v>7.5614509444444436E-2</v>
      </c>
      <c r="AV272" s="1189">
        <f t="shared" si="586"/>
        <v>0</v>
      </c>
      <c r="AW272" s="1189">
        <f t="shared" si="583"/>
        <v>0</v>
      </c>
      <c r="AX272" s="1044">
        <f t="shared" si="608"/>
        <v>45602315.231702194</v>
      </c>
      <c r="AY272" s="1044">
        <f t="shared" si="608"/>
        <v>1316816.4900000002</v>
      </c>
      <c r="AZ272" s="1044">
        <f t="shared" si="608"/>
        <v>0</v>
      </c>
      <c r="BA272" s="1044">
        <f t="shared" si="608"/>
        <v>0</v>
      </c>
      <c r="BB272" s="1107"/>
      <c r="BC272" s="1107"/>
      <c r="BD272" s="1107"/>
      <c r="BE272" s="1107"/>
      <c r="BF272" s="1190">
        <f t="shared" si="587"/>
        <v>0</v>
      </c>
      <c r="BG272" s="1190">
        <f t="shared" si="587"/>
        <v>0</v>
      </c>
      <c r="BH272" s="1190" t="e">
        <f t="shared" si="587"/>
        <v>#DIV/0!</v>
      </c>
      <c r="BI272" s="1190" t="e">
        <f t="shared" si="584"/>
        <v>#DIV/0!</v>
      </c>
      <c r="BJ272" s="1107">
        <f t="shared" si="491"/>
        <v>252807835.72621316</v>
      </c>
      <c r="BK272" s="1110">
        <f t="shared" si="492"/>
        <v>70175001.711943746</v>
      </c>
      <c r="BL272" s="1111">
        <f t="shared" si="489"/>
        <v>0.27758238390973827</v>
      </c>
      <c r="BM272" s="1110">
        <f t="shared" si="490"/>
        <v>23255869.99024155</v>
      </c>
      <c r="BN272" s="1112">
        <f t="shared" si="471"/>
        <v>9.1990305298239594E-2</v>
      </c>
      <c r="BO272" s="2106" t="s">
        <v>2653</v>
      </c>
      <c r="BP272" s="1435" t="s">
        <v>2637</v>
      </c>
      <c r="BQ272" s="1803" t="s">
        <v>2193</v>
      </c>
      <c r="BR272" s="1191" t="s">
        <v>596</v>
      </c>
    </row>
    <row r="273" spans="1:70" ht="12.75" customHeight="1" thickBot="1">
      <c r="A273" s="2135" t="s">
        <v>2815</v>
      </c>
      <c r="B273" s="2135"/>
      <c r="C273" s="2136"/>
      <c r="D273" s="2136"/>
      <c r="E273" s="2137"/>
      <c r="F273" s="2137"/>
      <c r="G273" s="2137"/>
      <c r="H273" s="2241"/>
      <c r="I273" s="2241"/>
      <c r="J273" s="2241"/>
      <c r="K273" s="2241"/>
      <c r="L273" s="2241"/>
      <c r="M273" s="2241"/>
      <c r="N273" s="2241"/>
      <c r="O273" s="2241"/>
      <c r="P273" s="2242">
        <f>+SUMPRODUCT(P274:P275,Z274:Z275)</f>
        <v>1</v>
      </c>
      <c r="Q273" s="2242">
        <f t="shared" ref="Q273:S273" si="609">+SUMPRODUCT(Q274:Q275,AA274:AA275)</f>
        <v>1</v>
      </c>
      <c r="R273" s="2242" t="e">
        <f t="shared" si="609"/>
        <v>#DIV/0!</v>
      </c>
      <c r="S273" s="2242" t="e">
        <f t="shared" si="609"/>
        <v>#DIV/0!</v>
      </c>
      <c r="T273" s="2243"/>
      <c r="U273" s="2135"/>
      <c r="V273" s="2140"/>
      <c r="W273" s="2141">
        <f t="shared" si="544"/>
        <v>0</v>
      </c>
      <c r="X273" s="2242">
        <f>+SUMPRODUCT(X274:X275,Y274:Y275)</f>
        <v>0.79374999999999996</v>
      </c>
      <c r="Y273" s="2142">
        <v>0.5</v>
      </c>
      <c r="Z273" s="2142">
        <v>0.5</v>
      </c>
      <c r="AA273" s="2142">
        <v>0.5</v>
      </c>
      <c r="AB273" s="2142">
        <v>0.5</v>
      </c>
      <c r="AC273" s="2142">
        <v>0.5</v>
      </c>
      <c r="AD273" s="2136">
        <f>SUM(AD274:AD275)</f>
        <v>1081397103.2553229</v>
      </c>
      <c r="AE273" s="2136">
        <f>SUM(AE274:AE275)</f>
        <v>567000000</v>
      </c>
      <c r="AF273" s="2136">
        <f t="shared" ref="AF273:AK273" si="610">SUM(AF274:AF275)</f>
        <v>570000000</v>
      </c>
      <c r="AG273" s="2136">
        <f t="shared" si="610"/>
        <v>0</v>
      </c>
      <c r="AH273" s="2136">
        <f t="shared" si="610"/>
        <v>1081397102.5913069</v>
      </c>
      <c r="AI273" s="2136">
        <f t="shared" si="610"/>
        <v>524802756</v>
      </c>
      <c r="AJ273" s="2136">
        <f t="shared" si="610"/>
        <v>0</v>
      </c>
      <c r="AK273" s="2136">
        <f t="shared" si="610"/>
        <v>0</v>
      </c>
      <c r="AL273" s="2143">
        <f t="shared" si="585"/>
        <v>0.99999999938596473</v>
      </c>
      <c r="AM273" s="2143">
        <f t="shared" si="585"/>
        <v>0.92557805291005291</v>
      </c>
      <c r="AN273" s="2143">
        <f t="shared" si="585"/>
        <v>0</v>
      </c>
      <c r="AO273" s="2143" t="e">
        <f t="shared" si="585"/>
        <v>#DIV/0!</v>
      </c>
      <c r="AP273" s="2136">
        <f t="shared" ref="AP273:AS273" si="611">SUM(AP274:AP275)</f>
        <v>986424091.22691393</v>
      </c>
      <c r="AQ273" s="2136">
        <f t="shared" si="611"/>
        <v>89139656.810000002</v>
      </c>
      <c r="AR273" s="2136">
        <f t="shared" si="611"/>
        <v>0</v>
      </c>
      <c r="AS273" s="2136">
        <f t="shared" si="611"/>
        <v>0</v>
      </c>
      <c r="AT273" s="2143">
        <f t="shared" si="586"/>
        <v>0.91217563673648439</v>
      </c>
      <c r="AU273" s="2143">
        <f t="shared" si="586"/>
        <v>0.15721279860670195</v>
      </c>
      <c r="AV273" s="2143">
        <f t="shared" si="586"/>
        <v>0</v>
      </c>
      <c r="AW273" s="2143" t="e">
        <f t="shared" si="583"/>
        <v>#DIV/0!</v>
      </c>
      <c r="AX273" s="2136">
        <f t="shared" ref="AX273:BE273" si="612">SUM(AX274:AX275)</f>
        <v>94973011.364392996</v>
      </c>
      <c r="AY273" s="2136">
        <f t="shared" si="612"/>
        <v>435663099.19</v>
      </c>
      <c r="AZ273" s="2136">
        <f t="shared" si="612"/>
        <v>0</v>
      </c>
      <c r="BA273" s="2136">
        <f t="shared" si="612"/>
        <v>0</v>
      </c>
      <c r="BB273" s="2136">
        <f t="shared" si="612"/>
        <v>0</v>
      </c>
      <c r="BC273" s="2136">
        <f t="shared" si="612"/>
        <v>0</v>
      </c>
      <c r="BD273" s="2136">
        <f t="shared" si="612"/>
        <v>0</v>
      </c>
      <c r="BE273" s="2136">
        <f t="shared" si="612"/>
        <v>0</v>
      </c>
      <c r="BF273" s="2142">
        <f t="shared" si="587"/>
        <v>0</v>
      </c>
      <c r="BG273" s="2142">
        <f t="shared" si="587"/>
        <v>0</v>
      </c>
      <c r="BH273" s="2142" t="e">
        <f t="shared" si="587"/>
        <v>#DIV/0!</v>
      </c>
      <c r="BI273" s="2142" t="e">
        <f t="shared" si="584"/>
        <v>#DIV/0!</v>
      </c>
      <c r="BJ273" s="2136">
        <f t="shared" si="491"/>
        <v>2218397103.2553229</v>
      </c>
      <c r="BK273" s="2144">
        <f t="shared" si="492"/>
        <v>1606199858.5913069</v>
      </c>
      <c r="BL273" s="2145">
        <f t="shared" si="489"/>
        <v>0.7240362224753788</v>
      </c>
      <c r="BM273" s="2144">
        <f t="shared" si="490"/>
        <v>1075563748.0369139</v>
      </c>
      <c r="BN273" s="2146">
        <f t="shared" si="471"/>
        <v>0.48483824039375495</v>
      </c>
      <c r="BO273" s="2136"/>
      <c r="BP273" s="2147"/>
      <c r="BQ273" s="2147"/>
      <c r="BR273" s="2147"/>
    </row>
    <row r="274" spans="1:70" ht="12.75" customHeight="1" thickBot="1">
      <c r="A274" s="1851" t="s">
        <v>2816</v>
      </c>
      <c r="B274" s="1867" t="s">
        <v>2817</v>
      </c>
      <c r="C274" s="1274" t="s">
        <v>597</v>
      </c>
      <c r="D274" s="2096">
        <v>0</v>
      </c>
      <c r="E274" s="2244">
        <v>0.5</v>
      </c>
      <c r="F274" s="2244">
        <v>0.3</v>
      </c>
      <c r="G274" s="2245">
        <v>0</v>
      </c>
      <c r="H274" s="2246"/>
      <c r="I274" s="2247">
        <v>0.5</v>
      </c>
      <c r="J274" s="1290"/>
      <c r="K274" s="1290"/>
      <c r="L274" s="1290"/>
      <c r="M274" s="2248"/>
      <c r="N274" s="2248"/>
      <c r="O274" s="2248"/>
      <c r="P274" s="1306">
        <v>0</v>
      </c>
      <c r="Q274" s="1306">
        <f t="shared" ref="Q274:S275" si="613">IF((I274+M274)/E274&gt;=100%,100%,(I274+M274)/E274)</f>
        <v>1</v>
      </c>
      <c r="R274" s="1306">
        <f t="shared" si="613"/>
        <v>0</v>
      </c>
      <c r="S274" s="1306" t="e">
        <f t="shared" si="613"/>
        <v>#DIV/0!</v>
      </c>
      <c r="T274" s="1136" t="s">
        <v>2818</v>
      </c>
      <c r="U274" s="1034">
        <v>46022</v>
      </c>
      <c r="V274" s="1035">
        <f t="shared" ref="V274:V275" si="614">SUM(D274:G274)</f>
        <v>0.8</v>
      </c>
      <c r="W274" s="1035">
        <f t="shared" ref="W274:W275" si="615">SUM(H274:N274)</f>
        <v>0.5</v>
      </c>
      <c r="X274" s="1279">
        <f t="shared" si="549"/>
        <v>0.625</v>
      </c>
      <c r="Y274" s="1037">
        <v>0.55000000000000004</v>
      </c>
      <c r="Z274" s="1037">
        <v>0</v>
      </c>
      <c r="AA274" s="1037">
        <v>0.55000000000000004</v>
      </c>
      <c r="AB274" s="1037">
        <v>0.55000000000000004</v>
      </c>
      <c r="AC274" s="1037">
        <v>0.55000000000000004</v>
      </c>
      <c r="AD274" s="1137"/>
      <c r="AE274" s="1137">
        <v>283500000</v>
      </c>
      <c r="AF274" s="1137">
        <v>570000000</v>
      </c>
      <c r="AG274" s="1137">
        <v>0</v>
      </c>
      <c r="AH274" s="1137">
        <v>0</v>
      </c>
      <c r="AI274" s="1137">
        <f>524802756/2</f>
        <v>262401378</v>
      </c>
      <c r="AJ274" s="1137"/>
      <c r="AK274" s="1137"/>
      <c r="AL274" s="1112" t="e">
        <f t="shared" si="585"/>
        <v>#DIV/0!</v>
      </c>
      <c r="AM274" s="1112">
        <f t="shared" si="585"/>
        <v>0.92557805291005291</v>
      </c>
      <c r="AN274" s="1112">
        <f t="shared" si="585"/>
        <v>0</v>
      </c>
      <c r="AO274" s="1112" t="e">
        <f t="shared" si="585"/>
        <v>#DIV/0!</v>
      </c>
      <c r="AP274" s="1283">
        <v>0</v>
      </c>
      <c r="AQ274" s="1041">
        <f>89139656.81/2</f>
        <v>44569828.405000001</v>
      </c>
      <c r="AR274" s="1552"/>
      <c r="AS274" s="1042"/>
      <c r="AT274" s="1140" t="e">
        <f t="shared" si="586"/>
        <v>#DIV/0!</v>
      </c>
      <c r="AU274" s="1140">
        <f t="shared" si="586"/>
        <v>0.15721279860670195</v>
      </c>
      <c r="AV274" s="1140">
        <f t="shared" si="586"/>
        <v>0</v>
      </c>
      <c r="AW274" s="1140" t="e">
        <f t="shared" si="583"/>
        <v>#DIV/0!</v>
      </c>
      <c r="AX274" s="1044">
        <f t="shared" ref="AX274:BA275" si="616">+AH274-AP274</f>
        <v>0</v>
      </c>
      <c r="AY274" s="1044">
        <f t="shared" si="616"/>
        <v>217831549.595</v>
      </c>
      <c r="AZ274" s="1044">
        <f t="shared" si="616"/>
        <v>0</v>
      </c>
      <c r="BA274" s="1044">
        <f t="shared" si="616"/>
        <v>0</v>
      </c>
      <c r="BB274" s="1283"/>
      <c r="BC274" s="1283"/>
      <c r="BD274" s="1283"/>
      <c r="BE274" s="1283"/>
      <c r="BF274" s="1045" t="e">
        <f t="shared" si="587"/>
        <v>#DIV/0!</v>
      </c>
      <c r="BG274" s="1045">
        <f t="shared" si="587"/>
        <v>0</v>
      </c>
      <c r="BH274" s="1045" t="e">
        <f t="shared" si="587"/>
        <v>#DIV/0!</v>
      </c>
      <c r="BI274" s="1045" t="e">
        <f t="shared" si="584"/>
        <v>#DIV/0!</v>
      </c>
      <c r="BJ274" s="1283">
        <f t="shared" si="491"/>
        <v>853500000</v>
      </c>
      <c r="BK274" s="1046">
        <f t="shared" si="492"/>
        <v>262401378</v>
      </c>
      <c r="BL274" s="1047">
        <f t="shared" si="489"/>
        <v>0.30744156766256592</v>
      </c>
      <c r="BM274" s="1046">
        <f t="shared" si="490"/>
        <v>44569828.405000001</v>
      </c>
      <c r="BN274" s="1048">
        <f t="shared" si="471"/>
        <v>5.2220068429994146E-2</v>
      </c>
      <c r="BO274" s="2101"/>
      <c r="BP274" s="2150" t="s">
        <v>596</v>
      </c>
      <c r="BQ274" s="1794" t="s">
        <v>2193</v>
      </c>
      <c r="BR274" s="1146" t="s">
        <v>596</v>
      </c>
    </row>
    <row r="275" spans="1:70" ht="12.75" customHeight="1" thickBot="1">
      <c r="A275" s="1856" t="s">
        <v>2819</v>
      </c>
      <c r="B275" s="1796" t="s">
        <v>2820</v>
      </c>
      <c r="C275" s="1907" t="s">
        <v>597</v>
      </c>
      <c r="D275" s="2239">
        <v>1</v>
      </c>
      <c r="E275" s="2173">
        <v>1</v>
      </c>
      <c r="F275" s="2229">
        <v>0</v>
      </c>
      <c r="G275" s="2230">
        <v>0</v>
      </c>
      <c r="H275" s="1877">
        <v>1</v>
      </c>
      <c r="I275" s="1878">
        <v>1</v>
      </c>
      <c r="J275" s="1182"/>
      <c r="K275" s="1182"/>
      <c r="L275" s="1182"/>
      <c r="M275" s="1101"/>
      <c r="N275" s="1101"/>
      <c r="O275" s="1101"/>
      <c r="P275" s="1102">
        <f t="shared" ref="P275" si="617">IF((H275+L275)/D275&gt;=100%,100%,(H275+L275)/D275)</f>
        <v>1</v>
      </c>
      <c r="Q275" s="1102">
        <f t="shared" si="613"/>
        <v>1</v>
      </c>
      <c r="R275" s="1102" t="e">
        <f t="shared" si="613"/>
        <v>#DIV/0!</v>
      </c>
      <c r="S275" s="1102" t="e">
        <f t="shared" si="613"/>
        <v>#DIV/0!</v>
      </c>
      <c r="T275" s="1686"/>
      <c r="U275" s="1034">
        <v>46022</v>
      </c>
      <c r="V275" s="1035">
        <f t="shared" si="614"/>
        <v>2</v>
      </c>
      <c r="W275" s="1035">
        <f t="shared" si="615"/>
        <v>2</v>
      </c>
      <c r="X275" s="1291">
        <f t="shared" si="549"/>
        <v>1</v>
      </c>
      <c r="Y275" s="1104">
        <v>0.45</v>
      </c>
      <c r="Z275" s="1104">
        <v>1</v>
      </c>
      <c r="AA275" s="1104">
        <v>0.45</v>
      </c>
      <c r="AB275" s="1104">
        <v>0.45</v>
      </c>
      <c r="AC275" s="1104">
        <v>0.45</v>
      </c>
      <c r="AD275" s="1106">
        <f>875559911+205837192.255323</f>
        <v>1081397103.2553229</v>
      </c>
      <c r="AE275" s="1137">
        <v>283500000</v>
      </c>
      <c r="AF275" s="1137">
        <v>0</v>
      </c>
      <c r="AG275" s="1137">
        <v>0</v>
      </c>
      <c r="AH275" s="1106">
        <f>875559910.5+205837192.091307</f>
        <v>1081397102.5913069</v>
      </c>
      <c r="AI275" s="1137">
        <f>524802756/2</f>
        <v>262401378</v>
      </c>
      <c r="AJ275" s="1137"/>
      <c r="AK275" s="1137"/>
      <c r="AL275" s="1112">
        <f t="shared" si="585"/>
        <v>0.99999999938596473</v>
      </c>
      <c r="AM275" s="1112">
        <f t="shared" si="585"/>
        <v>0.92557805291005291</v>
      </c>
      <c r="AN275" s="1112" t="e">
        <f t="shared" si="585"/>
        <v>#DIV/0!</v>
      </c>
      <c r="AO275" s="1112" t="e">
        <f t="shared" si="585"/>
        <v>#DIV/0!</v>
      </c>
      <c r="AP275" s="1107">
        <f>809895999.5+176528091.726914</f>
        <v>986424091.22691393</v>
      </c>
      <c r="AQ275" s="1041">
        <f>89139656.81/2</f>
        <v>44569828.405000001</v>
      </c>
      <c r="AR275" s="1567"/>
      <c r="AS275" s="1188"/>
      <c r="AT275" s="1189">
        <f t="shared" si="586"/>
        <v>0.91217563673648439</v>
      </c>
      <c r="AU275" s="1189">
        <f t="shared" si="586"/>
        <v>0.15721279860670195</v>
      </c>
      <c r="AV275" s="1189" t="e">
        <f t="shared" si="586"/>
        <v>#DIV/0!</v>
      </c>
      <c r="AW275" s="1189" t="e">
        <f t="shared" si="583"/>
        <v>#DIV/0!</v>
      </c>
      <c r="AX275" s="1044">
        <f t="shared" si="616"/>
        <v>94973011.364392996</v>
      </c>
      <c r="AY275" s="1044">
        <f t="shared" si="616"/>
        <v>217831549.595</v>
      </c>
      <c r="AZ275" s="1044">
        <f t="shared" si="616"/>
        <v>0</v>
      </c>
      <c r="BA275" s="1044">
        <f t="shared" si="616"/>
        <v>0</v>
      </c>
      <c r="BB275" s="1107"/>
      <c r="BC275" s="1107"/>
      <c r="BD275" s="1107"/>
      <c r="BE275" s="1107"/>
      <c r="BF275" s="1190">
        <f t="shared" si="587"/>
        <v>0</v>
      </c>
      <c r="BG275" s="1190">
        <f t="shared" si="587"/>
        <v>0</v>
      </c>
      <c r="BH275" s="1190" t="e">
        <f t="shared" si="587"/>
        <v>#DIV/0!</v>
      </c>
      <c r="BI275" s="1190" t="e">
        <f t="shared" si="584"/>
        <v>#DIV/0!</v>
      </c>
      <c r="BJ275" s="1107">
        <f t="shared" si="491"/>
        <v>1364897103.2553229</v>
      </c>
      <c r="BK275" s="1110">
        <f t="shared" si="492"/>
        <v>1343798480.5913069</v>
      </c>
      <c r="BL275" s="1111">
        <f t="shared" si="489"/>
        <v>0.98454196831856766</v>
      </c>
      <c r="BM275" s="1110">
        <f t="shared" si="490"/>
        <v>1030993919.6319139</v>
      </c>
      <c r="BN275" s="1112">
        <f t="shared" si="471"/>
        <v>0.75536384184050265</v>
      </c>
      <c r="BO275" s="2106" t="s">
        <v>2653</v>
      </c>
      <c r="BP275" s="2116" t="s">
        <v>596</v>
      </c>
      <c r="BQ275" s="1803" t="s">
        <v>2193</v>
      </c>
      <c r="BR275" s="1191" t="s">
        <v>596</v>
      </c>
    </row>
    <row r="276" spans="1:70" ht="12.75" customHeight="1" thickBot="1">
      <c r="A276" s="2135" t="s">
        <v>2821</v>
      </c>
      <c r="B276" s="2135"/>
      <c r="C276" s="2136"/>
      <c r="D276" s="2136"/>
      <c r="E276" s="2137"/>
      <c r="F276" s="2137"/>
      <c r="G276" s="2137"/>
      <c r="H276" s="2137"/>
      <c r="I276" s="2137"/>
      <c r="J276" s="2137"/>
      <c r="K276" s="2137"/>
      <c r="L276" s="2137"/>
      <c r="M276" s="2137"/>
      <c r="N276" s="2137"/>
      <c r="O276" s="2137"/>
      <c r="P276" s="2138">
        <f>+SUMPRODUCT(P277:P278,Z277:Z278)</f>
        <v>1</v>
      </c>
      <c r="Q276" s="2138">
        <f t="shared" ref="Q276:S276" si="618">+SUMPRODUCT(Q277:Q278,AA277:AA278)</f>
        <v>1</v>
      </c>
      <c r="R276" s="2138">
        <f t="shared" si="618"/>
        <v>0</v>
      </c>
      <c r="S276" s="2138">
        <f t="shared" si="618"/>
        <v>0</v>
      </c>
      <c r="T276" s="2139"/>
      <c r="U276" s="2135"/>
      <c r="V276" s="2140"/>
      <c r="W276" s="2141">
        <f t="shared" si="544"/>
        <v>0</v>
      </c>
      <c r="X276" s="2138">
        <f>+SUMPRODUCT(X277:X278,Y277:Y278)</f>
        <v>0.5501611111111111</v>
      </c>
      <c r="Y276" s="2142">
        <v>0.4</v>
      </c>
      <c r="Z276" s="2142">
        <v>0.4</v>
      </c>
      <c r="AA276" s="2142">
        <v>0.4</v>
      </c>
      <c r="AB276" s="2142">
        <v>0.4</v>
      </c>
      <c r="AC276" s="2142">
        <v>0.4</v>
      </c>
      <c r="AD276" s="2136">
        <f>SUM(AD277:AD278)</f>
        <v>342542334.25135052</v>
      </c>
      <c r="AE276" s="2136">
        <f>SUM(AE277:AE278)</f>
        <v>395692200</v>
      </c>
      <c r="AF276" s="2136">
        <f t="shared" ref="AF276:AK276" si="619">SUM(AF277:AF278)</f>
        <v>502417340</v>
      </c>
      <c r="AG276" s="2136">
        <f t="shared" si="619"/>
        <v>569013032</v>
      </c>
      <c r="AH276" s="2136">
        <f t="shared" si="619"/>
        <v>327731497.3093279</v>
      </c>
      <c r="AI276" s="2136">
        <f t="shared" si="619"/>
        <v>366566977.38999999</v>
      </c>
      <c r="AJ276" s="2136">
        <f t="shared" si="619"/>
        <v>0</v>
      </c>
      <c r="AK276" s="2136">
        <f t="shared" si="619"/>
        <v>0</v>
      </c>
      <c r="AL276" s="2143">
        <f t="shared" si="585"/>
        <v>0.95676202483295181</v>
      </c>
      <c r="AM276" s="2143">
        <f t="shared" si="585"/>
        <v>0.92639424631064238</v>
      </c>
      <c r="AN276" s="2143">
        <f t="shared" si="585"/>
        <v>0</v>
      </c>
      <c r="AO276" s="2143">
        <f t="shared" si="585"/>
        <v>0</v>
      </c>
      <c r="AP276" s="2136">
        <f t="shared" ref="AP276:AS276" si="620">SUM(AP277:AP278)</f>
        <v>146823101.00653261</v>
      </c>
      <c r="AQ276" s="2136">
        <f t="shared" si="620"/>
        <v>245855131.83000001</v>
      </c>
      <c r="AR276" s="2136">
        <f t="shared" si="620"/>
        <v>0</v>
      </c>
      <c r="AS276" s="2136">
        <f t="shared" si="620"/>
        <v>0</v>
      </c>
      <c r="AT276" s="2143">
        <f t="shared" si="586"/>
        <v>0.42862760694214469</v>
      </c>
      <c r="AU276" s="2143">
        <f t="shared" si="586"/>
        <v>0.62132923476884305</v>
      </c>
      <c r="AV276" s="2143">
        <f t="shared" si="586"/>
        <v>0</v>
      </c>
      <c r="AW276" s="2143">
        <f t="shared" si="583"/>
        <v>0</v>
      </c>
      <c r="AX276" s="2136">
        <f t="shared" ref="AX276:BE276" si="621">SUM(AX277:AX278)</f>
        <v>180908396.30279529</v>
      </c>
      <c r="AY276" s="2136">
        <f t="shared" si="621"/>
        <v>120711845.55999997</v>
      </c>
      <c r="AZ276" s="2136">
        <f t="shared" si="621"/>
        <v>0</v>
      </c>
      <c r="BA276" s="2136">
        <f t="shared" si="621"/>
        <v>0</v>
      </c>
      <c r="BB276" s="2136">
        <f t="shared" si="621"/>
        <v>0</v>
      </c>
      <c r="BC276" s="2136">
        <f t="shared" si="621"/>
        <v>0</v>
      </c>
      <c r="BD276" s="2136">
        <f t="shared" si="621"/>
        <v>0</v>
      </c>
      <c r="BE276" s="2136">
        <f t="shared" si="621"/>
        <v>0</v>
      </c>
      <c r="BF276" s="2142">
        <f t="shared" si="587"/>
        <v>0</v>
      </c>
      <c r="BG276" s="2142">
        <f t="shared" si="587"/>
        <v>0</v>
      </c>
      <c r="BH276" s="2142" t="e">
        <f t="shared" si="587"/>
        <v>#DIV/0!</v>
      </c>
      <c r="BI276" s="2142" t="e">
        <f t="shared" si="584"/>
        <v>#DIV/0!</v>
      </c>
      <c r="BJ276" s="2136">
        <f t="shared" si="491"/>
        <v>1809664906.2513504</v>
      </c>
      <c r="BK276" s="2144">
        <f t="shared" si="492"/>
        <v>694298474.69932795</v>
      </c>
      <c r="BL276" s="2145">
        <f t="shared" si="489"/>
        <v>0.38366134652936379</v>
      </c>
      <c r="BM276" s="2144">
        <f t="shared" si="490"/>
        <v>392678232.83653259</v>
      </c>
      <c r="BN276" s="2146">
        <f t="shared" ref="BN276:BN284" si="622">+BM276/BJ276</f>
        <v>0.2169894721835271</v>
      </c>
      <c r="BO276" s="2136"/>
      <c r="BP276" s="2197"/>
      <c r="BQ276" s="2147"/>
      <c r="BR276" s="2147"/>
    </row>
    <row r="277" spans="1:70" ht="12.75" customHeight="1" thickBot="1">
      <c r="A277" s="1851" t="s">
        <v>2822</v>
      </c>
      <c r="B277" s="1867" t="s">
        <v>2823</v>
      </c>
      <c r="C277" s="1274" t="s">
        <v>597</v>
      </c>
      <c r="D277" s="2249">
        <v>0.9</v>
      </c>
      <c r="E277" s="2195">
        <v>0.9</v>
      </c>
      <c r="F277" s="2195">
        <v>0.9</v>
      </c>
      <c r="G277" s="2196">
        <v>0.9</v>
      </c>
      <c r="H277" s="2250">
        <v>0.99980000000000002</v>
      </c>
      <c r="I277" s="1280">
        <v>0.995</v>
      </c>
      <c r="J277" s="1030"/>
      <c r="K277" s="1030"/>
      <c r="L277" s="1030"/>
      <c r="M277" s="1031"/>
      <c r="N277" s="1031"/>
      <c r="O277" s="1031"/>
      <c r="P277" s="1032">
        <f t="shared" ref="P277:S278" si="623">IF((H277+L277)/D277&gt;=100%,100%,(H277+L277)/D277)</f>
        <v>1</v>
      </c>
      <c r="Q277" s="1032">
        <f t="shared" si="623"/>
        <v>1</v>
      </c>
      <c r="R277" s="1032">
        <f t="shared" si="623"/>
        <v>0</v>
      </c>
      <c r="S277" s="1032">
        <f t="shared" si="623"/>
        <v>0</v>
      </c>
      <c r="T277" s="1880" t="s">
        <v>2824</v>
      </c>
      <c r="U277" s="1034">
        <v>46022</v>
      </c>
      <c r="V277" s="1035">
        <f t="shared" ref="V277:V278" si="624">SUM(D277:G277)</f>
        <v>3.6</v>
      </c>
      <c r="W277" s="1035">
        <f t="shared" ref="W277:W278" si="625">SUM(H277:N277)</f>
        <v>1.9948000000000001</v>
      </c>
      <c r="X277" s="1279">
        <f t="shared" si="549"/>
        <v>0.55411111111111111</v>
      </c>
      <c r="Y277" s="1037">
        <v>0.85</v>
      </c>
      <c r="Z277" s="1037">
        <v>0.85</v>
      </c>
      <c r="AA277" s="1037">
        <v>0.85</v>
      </c>
      <c r="AB277" s="1037">
        <v>0.85</v>
      </c>
      <c r="AC277" s="1037">
        <v>0.85</v>
      </c>
      <c r="AD277" s="1137">
        <f>264705000/2+(77837334.2513505/2)</f>
        <v>171271167.12567526</v>
      </c>
      <c r="AE277" s="1137">
        <v>197846100</v>
      </c>
      <c r="AF277" s="1137">
        <v>402417340</v>
      </c>
      <c r="AG277" s="1137">
        <v>449013032</v>
      </c>
      <c r="AH277" s="1137">
        <f>249894163.12/2+(77837334.1893279/2)</f>
        <v>163865748.65466395</v>
      </c>
      <c r="AI277" s="1137">
        <f>366566977.39/2</f>
        <v>183283488.69499999</v>
      </c>
      <c r="AJ277" s="1137"/>
      <c r="AK277" s="1137"/>
      <c r="AL277" s="1048">
        <f t="shared" si="585"/>
        <v>0.95676202483295181</v>
      </c>
      <c r="AM277" s="1048">
        <f t="shared" si="585"/>
        <v>0.92639424631064238</v>
      </c>
      <c r="AN277" s="1048">
        <f t="shared" si="585"/>
        <v>0</v>
      </c>
      <c r="AO277" s="1048">
        <f t="shared" si="585"/>
        <v>0</v>
      </c>
      <c r="AP277" s="1283">
        <f>80069003.12/2+(66754097.8865326/2)</f>
        <v>73411550.503266305</v>
      </c>
      <c r="AQ277" s="1041">
        <f>245855131.83/2</f>
        <v>122927565.91500001</v>
      </c>
      <c r="AR277" s="1552"/>
      <c r="AS277" s="1042"/>
      <c r="AT277" s="1043">
        <f t="shared" si="586"/>
        <v>0.42862760694214469</v>
      </c>
      <c r="AU277" s="1043">
        <f t="shared" si="586"/>
        <v>0.62132923476884305</v>
      </c>
      <c r="AV277" s="1043">
        <f t="shared" si="586"/>
        <v>0</v>
      </c>
      <c r="AW277" s="1043">
        <f t="shared" si="583"/>
        <v>0</v>
      </c>
      <c r="AX277" s="1044">
        <f t="shared" ref="AX277:BA278" si="626">+AH277-AP277</f>
        <v>90454198.151397645</v>
      </c>
      <c r="AY277" s="1044">
        <f t="shared" si="626"/>
        <v>60355922.779999986</v>
      </c>
      <c r="AZ277" s="1044">
        <f t="shared" si="626"/>
        <v>0</v>
      </c>
      <c r="BA277" s="1044">
        <f t="shared" si="626"/>
        <v>0</v>
      </c>
      <c r="BB277" s="1283"/>
      <c r="BC277" s="1283"/>
      <c r="BD277" s="1283"/>
      <c r="BE277" s="1283"/>
      <c r="BF277" s="1045">
        <f t="shared" si="587"/>
        <v>0</v>
      </c>
      <c r="BG277" s="1045">
        <f t="shared" si="587"/>
        <v>0</v>
      </c>
      <c r="BH277" s="1045" t="e">
        <f t="shared" si="587"/>
        <v>#DIV/0!</v>
      </c>
      <c r="BI277" s="1045" t="e">
        <f t="shared" si="584"/>
        <v>#DIV/0!</v>
      </c>
      <c r="BJ277" s="1283">
        <f t="shared" si="491"/>
        <v>1220547639.1256752</v>
      </c>
      <c r="BK277" s="1046">
        <f t="shared" si="492"/>
        <v>347149237.34966397</v>
      </c>
      <c r="BL277" s="1047">
        <f t="shared" si="489"/>
        <v>0.28442088307043895</v>
      </c>
      <c r="BM277" s="1046">
        <f t="shared" si="490"/>
        <v>196339116.4182663</v>
      </c>
      <c r="BN277" s="1048">
        <f t="shared" si="622"/>
        <v>0.16086149374629202</v>
      </c>
      <c r="BO277" s="2106" t="s">
        <v>2653</v>
      </c>
      <c r="BP277" s="2150" t="s">
        <v>596</v>
      </c>
      <c r="BQ277" s="1794" t="s">
        <v>2193</v>
      </c>
      <c r="BR277" s="1146" t="s">
        <v>596</v>
      </c>
    </row>
    <row r="278" spans="1:70" ht="12.75" customHeight="1" thickBot="1">
      <c r="A278" s="1856" t="s">
        <v>2825</v>
      </c>
      <c r="B278" s="1796" t="s">
        <v>2826</v>
      </c>
      <c r="C278" s="1907" t="s">
        <v>597</v>
      </c>
      <c r="D278" s="2239">
        <v>0.9</v>
      </c>
      <c r="E278" s="2173">
        <v>0.9</v>
      </c>
      <c r="F278" s="2173">
        <v>0.9</v>
      </c>
      <c r="G278" s="2174">
        <v>0.9</v>
      </c>
      <c r="H278" s="2160">
        <v>0.9</v>
      </c>
      <c r="I278" s="1878">
        <v>1</v>
      </c>
      <c r="J278" s="1182"/>
      <c r="K278" s="1182"/>
      <c r="L278" s="1182"/>
      <c r="M278" s="1101"/>
      <c r="N278" s="1101"/>
      <c r="O278" s="1101"/>
      <c r="P278" s="1102">
        <f t="shared" si="623"/>
        <v>1</v>
      </c>
      <c r="Q278" s="1102">
        <f t="shared" si="623"/>
        <v>1</v>
      </c>
      <c r="R278" s="1102">
        <f t="shared" si="623"/>
        <v>0</v>
      </c>
      <c r="S278" s="1102">
        <f t="shared" si="623"/>
        <v>0</v>
      </c>
      <c r="T278" s="1686" t="s">
        <v>2827</v>
      </c>
      <c r="U278" s="1034">
        <v>46022</v>
      </c>
      <c r="V278" s="1035">
        <f t="shared" si="624"/>
        <v>3.6</v>
      </c>
      <c r="W278" s="1035">
        <f t="shared" si="625"/>
        <v>1.9</v>
      </c>
      <c r="X278" s="1291">
        <f t="shared" si="549"/>
        <v>0.52777777777777779</v>
      </c>
      <c r="Y278" s="1104">
        <v>0.15</v>
      </c>
      <c r="Z278" s="1104">
        <v>0.15</v>
      </c>
      <c r="AA278" s="1104">
        <v>0.15</v>
      </c>
      <c r="AB278" s="1104">
        <v>0.15</v>
      </c>
      <c r="AC278" s="1104">
        <v>0.15</v>
      </c>
      <c r="AD278" s="1106">
        <f>264705000/2+(77837334.2513505/2)</f>
        <v>171271167.12567526</v>
      </c>
      <c r="AE278" s="1137">
        <v>197846100</v>
      </c>
      <c r="AF278" s="1137">
        <v>100000000</v>
      </c>
      <c r="AG278" s="1137">
        <v>120000000</v>
      </c>
      <c r="AH278" s="1137">
        <f>249894163.12/2+(77837334.1893279/2)</f>
        <v>163865748.65466395</v>
      </c>
      <c r="AI278" s="1137">
        <f>366566977.39/2</f>
        <v>183283488.69499999</v>
      </c>
      <c r="AJ278" s="1137"/>
      <c r="AK278" s="1137"/>
      <c r="AL278" s="1112">
        <f t="shared" si="585"/>
        <v>0.95676202483295181</v>
      </c>
      <c r="AM278" s="1112">
        <f t="shared" si="585"/>
        <v>0.92639424631064238</v>
      </c>
      <c r="AN278" s="1112">
        <f t="shared" si="585"/>
        <v>0</v>
      </c>
      <c r="AO278" s="1112">
        <f t="shared" si="585"/>
        <v>0</v>
      </c>
      <c r="AP278" s="1283">
        <f>80069003.12/2+(66754097.8865326/2)</f>
        <v>73411550.503266305</v>
      </c>
      <c r="AQ278" s="1041">
        <f>245855131.83/2</f>
        <v>122927565.91500001</v>
      </c>
      <c r="AR278" s="1567"/>
      <c r="AS278" s="1188"/>
      <c r="AT278" s="1189">
        <f t="shared" si="586"/>
        <v>0.42862760694214469</v>
      </c>
      <c r="AU278" s="1189">
        <f t="shared" si="586"/>
        <v>0.62132923476884305</v>
      </c>
      <c r="AV278" s="1189">
        <f t="shared" si="586"/>
        <v>0</v>
      </c>
      <c r="AW278" s="1189">
        <f t="shared" si="583"/>
        <v>0</v>
      </c>
      <c r="AX278" s="1044">
        <f t="shared" si="626"/>
        <v>90454198.151397645</v>
      </c>
      <c r="AY278" s="1044">
        <f t="shared" si="626"/>
        <v>60355922.779999986</v>
      </c>
      <c r="AZ278" s="1044">
        <f t="shared" si="626"/>
        <v>0</v>
      </c>
      <c r="BA278" s="1044">
        <f t="shared" si="626"/>
        <v>0</v>
      </c>
      <c r="BB278" s="1107"/>
      <c r="BC278" s="1107"/>
      <c r="BD278" s="1107"/>
      <c r="BE278" s="1107"/>
      <c r="BF278" s="1190">
        <f t="shared" si="587"/>
        <v>0</v>
      </c>
      <c r="BG278" s="1190">
        <f t="shared" si="587"/>
        <v>0</v>
      </c>
      <c r="BH278" s="1190" t="e">
        <f t="shared" si="587"/>
        <v>#DIV/0!</v>
      </c>
      <c r="BI278" s="1190" t="e">
        <f t="shared" si="584"/>
        <v>#DIV/0!</v>
      </c>
      <c r="BJ278" s="1107">
        <f t="shared" si="491"/>
        <v>589117267.1256752</v>
      </c>
      <c r="BK278" s="1110">
        <f t="shared" si="492"/>
        <v>347149237.34966397</v>
      </c>
      <c r="BL278" s="1111">
        <f t="shared" si="489"/>
        <v>0.58927017882775334</v>
      </c>
      <c r="BM278" s="1110">
        <f t="shared" si="490"/>
        <v>196339116.4182663</v>
      </c>
      <c r="BN278" s="1112">
        <f t="shared" si="622"/>
        <v>0.33327679797302845</v>
      </c>
      <c r="BO278" s="2106" t="s">
        <v>2653</v>
      </c>
      <c r="BP278" s="2116" t="s">
        <v>596</v>
      </c>
      <c r="BQ278" s="1803" t="s">
        <v>2193</v>
      </c>
      <c r="BR278" s="1191" t="s">
        <v>596</v>
      </c>
    </row>
    <row r="279" spans="1:70" ht="12.75" customHeight="1">
      <c r="A279" s="2118" t="s">
        <v>2828</v>
      </c>
      <c r="B279" s="2118"/>
      <c r="C279" s="2119"/>
      <c r="D279" s="2119"/>
      <c r="E279" s="2120"/>
      <c r="F279" s="2120"/>
      <c r="G279" s="2120"/>
      <c r="H279" s="2120"/>
      <c r="I279" s="2120"/>
      <c r="J279" s="2120"/>
      <c r="K279" s="2120"/>
      <c r="L279" s="2120"/>
      <c r="M279" s="2120"/>
      <c r="N279" s="2120"/>
      <c r="O279" s="2120"/>
      <c r="P279" s="2121">
        <f>+(P280*Z280)</f>
        <v>0.91722000000000015</v>
      </c>
      <c r="Q279" s="2121">
        <f t="shared" ref="Q279:S279" si="627">+(Q280*AA280)</f>
        <v>0.93462000000000001</v>
      </c>
      <c r="R279" s="2121">
        <f t="shared" si="627"/>
        <v>0</v>
      </c>
      <c r="S279" s="2121">
        <f t="shared" si="627"/>
        <v>0</v>
      </c>
      <c r="T279" s="2122"/>
      <c r="U279" s="2118"/>
      <c r="V279" s="2123"/>
      <c r="W279" s="2124">
        <f t="shared" si="544"/>
        <v>0</v>
      </c>
      <c r="X279" s="2121">
        <f>+(X280*Y280)</f>
        <v>0.46295999999999998</v>
      </c>
      <c r="Y279" s="2125">
        <v>0.05</v>
      </c>
      <c r="Z279" s="2125">
        <v>0.05</v>
      </c>
      <c r="AA279" s="2125">
        <v>0.05</v>
      </c>
      <c r="AB279" s="2125">
        <v>0.05</v>
      </c>
      <c r="AC279" s="2125">
        <v>0.05</v>
      </c>
      <c r="AD279" s="2119">
        <f>+AD280</f>
        <v>11710976946.309999</v>
      </c>
      <c r="AE279" s="2119">
        <f>+AE280</f>
        <v>5366451720.0900002</v>
      </c>
      <c r="AF279" s="2119">
        <f t="shared" ref="AF279:AK279" si="628">+AF280</f>
        <v>652500000</v>
      </c>
      <c r="AG279" s="2119">
        <f t="shared" si="628"/>
        <v>790000000</v>
      </c>
      <c r="AH279" s="2119">
        <f t="shared" si="628"/>
        <v>10593986969</v>
      </c>
      <c r="AI279" s="2119">
        <f t="shared" si="628"/>
        <v>4983441004.6300001</v>
      </c>
      <c r="AJ279" s="2119">
        <f t="shared" si="628"/>
        <v>0</v>
      </c>
      <c r="AK279" s="2119">
        <f t="shared" si="628"/>
        <v>0</v>
      </c>
      <c r="AL279" s="2126">
        <f t="shared" si="585"/>
        <v>0.90462025649687994</v>
      </c>
      <c r="AM279" s="2126">
        <f t="shared" si="585"/>
        <v>0.9286286851279868</v>
      </c>
      <c r="AN279" s="2126">
        <f t="shared" si="585"/>
        <v>0</v>
      </c>
      <c r="AO279" s="2126">
        <f t="shared" si="585"/>
        <v>0</v>
      </c>
      <c r="AP279" s="2119">
        <f t="shared" ref="AP279:AS279" si="629">+AP280</f>
        <v>10585908050</v>
      </c>
      <c r="AQ279" s="2119">
        <f t="shared" si="629"/>
        <v>4971566188.4300003</v>
      </c>
      <c r="AR279" s="2119">
        <f t="shared" si="629"/>
        <v>0</v>
      </c>
      <c r="AS279" s="2119">
        <f t="shared" si="629"/>
        <v>0</v>
      </c>
      <c r="AT279" s="2126">
        <f t="shared" si="586"/>
        <v>0.90393039782522189</v>
      </c>
      <c r="AU279" s="2126">
        <f t="shared" si="586"/>
        <v>0.92641589783027489</v>
      </c>
      <c r="AV279" s="2126">
        <f t="shared" si="586"/>
        <v>0</v>
      </c>
      <c r="AW279" s="2126">
        <f t="shared" si="583"/>
        <v>0</v>
      </c>
      <c r="AX279" s="2119">
        <f t="shared" ref="AX279:BE279" si="630">+AX280</f>
        <v>8078919</v>
      </c>
      <c r="AY279" s="2119">
        <f t="shared" si="630"/>
        <v>11874816.200000152</v>
      </c>
      <c r="AZ279" s="2119">
        <f t="shared" si="630"/>
        <v>0</v>
      </c>
      <c r="BA279" s="2119">
        <f t="shared" si="630"/>
        <v>0</v>
      </c>
      <c r="BB279" s="2119">
        <f t="shared" si="630"/>
        <v>0</v>
      </c>
      <c r="BC279" s="2119">
        <f t="shared" si="630"/>
        <v>0</v>
      </c>
      <c r="BD279" s="2119">
        <f t="shared" si="630"/>
        <v>0</v>
      </c>
      <c r="BE279" s="2119">
        <f t="shared" si="630"/>
        <v>0</v>
      </c>
      <c r="BF279" s="2125">
        <f t="shared" si="587"/>
        <v>0</v>
      </c>
      <c r="BG279" s="2125">
        <f t="shared" si="587"/>
        <v>0</v>
      </c>
      <c r="BH279" s="2125" t="e">
        <f t="shared" si="587"/>
        <v>#DIV/0!</v>
      </c>
      <c r="BI279" s="2125" t="e">
        <f t="shared" si="584"/>
        <v>#DIV/0!</v>
      </c>
      <c r="BJ279" s="2119">
        <f t="shared" si="491"/>
        <v>18519928666.400002</v>
      </c>
      <c r="BK279" s="2127">
        <f t="shared" si="492"/>
        <v>15577427973.630001</v>
      </c>
      <c r="BL279" s="2128">
        <f t="shared" si="489"/>
        <v>0.84111706120615537</v>
      </c>
      <c r="BM279" s="2127">
        <f t="shared" si="490"/>
        <v>15557474238.43</v>
      </c>
      <c r="BN279" s="2129">
        <f t="shared" si="622"/>
        <v>0.84003964154869182</v>
      </c>
      <c r="BO279" s="2119"/>
      <c r="BP279" s="2194"/>
      <c r="BQ279" s="2130"/>
      <c r="BR279" s="2130"/>
    </row>
    <row r="280" spans="1:70" ht="12.75" customHeight="1" thickBot="1">
      <c r="A280" s="2081" t="s">
        <v>2829</v>
      </c>
      <c r="B280" s="2081"/>
      <c r="C280" s="2082"/>
      <c r="D280" s="2082"/>
      <c r="E280" s="2083"/>
      <c r="F280" s="2083"/>
      <c r="G280" s="2083"/>
      <c r="H280" s="2083"/>
      <c r="I280" s="2083"/>
      <c r="J280" s="2083"/>
      <c r="K280" s="2083"/>
      <c r="L280" s="2083"/>
      <c r="M280" s="2083"/>
      <c r="N280" s="2083"/>
      <c r="O280" s="2083"/>
      <c r="P280" s="2084">
        <f>+SUMPRODUCT(P281:P283,Z281:Z283)</f>
        <v>0.91722000000000015</v>
      </c>
      <c r="Q280" s="2084">
        <f t="shared" ref="Q280:S280" si="631">+SUMPRODUCT(Q281:Q283,AA281:AA283)</f>
        <v>0.93462000000000001</v>
      </c>
      <c r="R280" s="2084">
        <f t="shared" si="631"/>
        <v>0</v>
      </c>
      <c r="S280" s="2084">
        <f t="shared" si="631"/>
        <v>0</v>
      </c>
      <c r="T280" s="2087"/>
      <c r="U280" s="2081"/>
      <c r="V280" s="2088"/>
      <c r="W280" s="2089">
        <f t="shared" si="544"/>
        <v>0</v>
      </c>
      <c r="X280" s="2084">
        <f>+SUMPRODUCT(X281:X283,Y281:Y283)</f>
        <v>0.46295999999999998</v>
      </c>
      <c r="Y280" s="2085">
        <v>1</v>
      </c>
      <c r="Z280" s="2085">
        <v>1</v>
      </c>
      <c r="AA280" s="2085">
        <v>1</v>
      </c>
      <c r="AB280" s="2085">
        <v>1</v>
      </c>
      <c r="AC280" s="2085">
        <v>1</v>
      </c>
      <c r="AD280" s="2082">
        <f>SUM(AD281:AD283)</f>
        <v>11710976946.309999</v>
      </c>
      <c r="AE280" s="2082">
        <f>SUM(AE281:AE283)</f>
        <v>5366451720.0900002</v>
      </c>
      <c r="AF280" s="2082">
        <f t="shared" ref="AF280:AK280" si="632">SUM(AF281:AF283)</f>
        <v>652500000</v>
      </c>
      <c r="AG280" s="2082">
        <f t="shared" si="632"/>
        <v>790000000</v>
      </c>
      <c r="AH280" s="2082">
        <f t="shared" si="632"/>
        <v>10593986969</v>
      </c>
      <c r="AI280" s="2082">
        <f t="shared" si="632"/>
        <v>4983441004.6300001</v>
      </c>
      <c r="AJ280" s="2082">
        <f t="shared" si="632"/>
        <v>0</v>
      </c>
      <c r="AK280" s="2082">
        <f t="shared" si="632"/>
        <v>0</v>
      </c>
      <c r="AL280" s="2090">
        <f t="shared" si="585"/>
        <v>0.90462025649687994</v>
      </c>
      <c r="AM280" s="2090">
        <f t="shared" si="585"/>
        <v>0.9286286851279868</v>
      </c>
      <c r="AN280" s="2090">
        <f t="shared" si="585"/>
        <v>0</v>
      </c>
      <c r="AO280" s="2090">
        <f t="shared" si="585"/>
        <v>0</v>
      </c>
      <c r="AP280" s="2082">
        <f t="shared" ref="AP280:AS280" si="633">SUM(AP281:AP283)</f>
        <v>10585908050</v>
      </c>
      <c r="AQ280" s="2082">
        <f t="shared" si="633"/>
        <v>4971566188.4300003</v>
      </c>
      <c r="AR280" s="2082">
        <f t="shared" si="633"/>
        <v>0</v>
      </c>
      <c r="AS280" s="2082">
        <f t="shared" si="633"/>
        <v>0</v>
      </c>
      <c r="AT280" s="2090">
        <f t="shared" si="586"/>
        <v>0.90393039782522189</v>
      </c>
      <c r="AU280" s="2090">
        <f t="shared" si="586"/>
        <v>0.92641589783027489</v>
      </c>
      <c r="AV280" s="2090">
        <f t="shared" si="586"/>
        <v>0</v>
      </c>
      <c r="AW280" s="2090">
        <f t="shared" si="583"/>
        <v>0</v>
      </c>
      <c r="AX280" s="2082">
        <f t="shared" ref="AX280:BE280" si="634">SUM(AX281:AX283)</f>
        <v>8078919</v>
      </c>
      <c r="AY280" s="2082">
        <f t="shared" si="634"/>
        <v>11874816.200000152</v>
      </c>
      <c r="AZ280" s="2082">
        <f t="shared" si="634"/>
        <v>0</v>
      </c>
      <c r="BA280" s="2082">
        <f t="shared" si="634"/>
        <v>0</v>
      </c>
      <c r="BB280" s="2082">
        <f t="shared" si="634"/>
        <v>0</v>
      </c>
      <c r="BC280" s="2082">
        <f t="shared" si="634"/>
        <v>0</v>
      </c>
      <c r="BD280" s="2082">
        <f t="shared" si="634"/>
        <v>0</v>
      </c>
      <c r="BE280" s="2082">
        <f t="shared" si="634"/>
        <v>0</v>
      </c>
      <c r="BF280" s="2085">
        <f t="shared" si="587"/>
        <v>0</v>
      </c>
      <c r="BG280" s="2085">
        <f t="shared" si="587"/>
        <v>0</v>
      </c>
      <c r="BH280" s="2085" t="e">
        <f t="shared" si="587"/>
        <v>#DIV/0!</v>
      </c>
      <c r="BI280" s="2085" t="e">
        <f t="shared" si="584"/>
        <v>#DIV/0!</v>
      </c>
      <c r="BJ280" s="2082">
        <f t="shared" si="491"/>
        <v>18519928666.400002</v>
      </c>
      <c r="BK280" s="2091">
        <f t="shared" si="492"/>
        <v>15577427973.630001</v>
      </c>
      <c r="BL280" s="2092">
        <f t="shared" si="489"/>
        <v>0.84111706120615537</v>
      </c>
      <c r="BM280" s="2091">
        <f t="shared" si="490"/>
        <v>15557474238.43</v>
      </c>
      <c r="BN280" s="2093">
        <f t="shared" si="622"/>
        <v>0.84003964154869182</v>
      </c>
      <c r="BO280" s="2082"/>
      <c r="BP280" s="2180"/>
      <c r="BQ280" s="2094"/>
      <c r="BR280" s="2094"/>
    </row>
    <row r="281" spans="1:70" ht="12.75" customHeight="1" thickBot="1">
      <c r="A281" s="1851" t="s">
        <v>2830</v>
      </c>
      <c r="B281" s="1867" t="s">
        <v>2831</v>
      </c>
      <c r="C281" s="2251" t="s">
        <v>2181</v>
      </c>
      <c r="D281" s="2252">
        <v>1</v>
      </c>
      <c r="E281" s="2253">
        <v>1</v>
      </c>
      <c r="F281" s="2254">
        <v>1</v>
      </c>
      <c r="G281" s="2255">
        <v>1</v>
      </c>
      <c r="H281" s="1627">
        <v>1</v>
      </c>
      <c r="I281" s="1030">
        <v>1</v>
      </c>
      <c r="J281" s="1030"/>
      <c r="K281" s="1030"/>
      <c r="L281" s="1030"/>
      <c r="M281" s="1031"/>
      <c r="N281" s="1031"/>
      <c r="O281" s="1031"/>
      <c r="P281" s="1032">
        <f t="shared" ref="P281:S283" si="635">IF((H281+L281)/D281&gt;=100%,100%,(H281+L281)/D281)</f>
        <v>1</v>
      </c>
      <c r="Q281" s="1032">
        <f t="shared" si="635"/>
        <v>1</v>
      </c>
      <c r="R281" s="1032">
        <f t="shared" si="635"/>
        <v>0</v>
      </c>
      <c r="S281" s="1032">
        <f t="shared" si="635"/>
        <v>0</v>
      </c>
      <c r="T281" s="1880" t="s">
        <v>2832</v>
      </c>
      <c r="U281" s="1034">
        <v>46022</v>
      </c>
      <c r="V281" s="1035">
        <f t="shared" ref="V281:V283" si="636">SUM(D281:G281)</f>
        <v>4</v>
      </c>
      <c r="W281" s="1035">
        <f t="shared" ref="W281:W283" si="637">SUM(H281:N281)</f>
        <v>2</v>
      </c>
      <c r="X281" s="1279">
        <f t="shared" si="549"/>
        <v>0.5</v>
      </c>
      <c r="Y281" s="1037">
        <v>0.05</v>
      </c>
      <c r="Z281" s="1037">
        <v>0.05</v>
      </c>
      <c r="AA281" s="1037">
        <v>0.05</v>
      </c>
      <c r="AB281" s="1037">
        <v>0.3</v>
      </c>
      <c r="AC281" s="1037">
        <v>0.3</v>
      </c>
      <c r="AD281" s="1137">
        <v>63000000</v>
      </c>
      <c r="AE281" s="1137">
        <v>108000000</v>
      </c>
      <c r="AF281" s="1137">
        <v>130000000</v>
      </c>
      <c r="AG281" s="1137">
        <v>150000000</v>
      </c>
      <c r="AH281" s="1137">
        <v>59654374</v>
      </c>
      <c r="AI281" s="1137">
        <v>107763067</v>
      </c>
      <c r="AJ281" s="1137"/>
      <c r="AK281" s="1137"/>
      <c r="AL281" s="1048">
        <f t="shared" si="585"/>
        <v>0.94689482539682535</v>
      </c>
      <c r="AM281" s="1048">
        <f t="shared" si="585"/>
        <v>0.99780617592592591</v>
      </c>
      <c r="AN281" s="1048">
        <f t="shared" si="585"/>
        <v>0</v>
      </c>
      <c r="AO281" s="1048">
        <f t="shared" si="585"/>
        <v>0</v>
      </c>
      <c r="AP281" s="1283">
        <v>55275176</v>
      </c>
      <c r="AQ281" s="1041">
        <v>104932580.27</v>
      </c>
      <c r="AR281" s="1552"/>
      <c r="AS281" s="1042"/>
      <c r="AT281" s="1043">
        <f t="shared" si="586"/>
        <v>0.87738374603174607</v>
      </c>
      <c r="AU281" s="1043">
        <f t="shared" si="586"/>
        <v>0.97159796546296295</v>
      </c>
      <c r="AV281" s="1043">
        <f t="shared" si="586"/>
        <v>0</v>
      </c>
      <c r="AW281" s="1043">
        <f t="shared" si="583"/>
        <v>0</v>
      </c>
      <c r="AX281" s="1044">
        <f t="shared" ref="AX281:BA283" si="638">+AH281-AP281</f>
        <v>4379198</v>
      </c>
      <c r="AY281" s="1044">
        <f t="shared" si="638"/>
        <v>2830486.7300000042</v>
      </c>
      <c r="AZ281" s="1044">
        <f t="shared" si="638"/>
        <v>0</v>
      </c>
      <c r="BA281" s="1044">
        <f t="shared" si="638"/>
        <v>0</v>
      </c>
      <c r="BB281" s="1283"/>
      <c r="BC281" s="1283"/>
      <c r="BD281" s="1283"/>
      <c r="BE281" s="1283"/>
      <c r="BF281" s="1045">
        <f t="shared" si="587"/>
        <v>0</v>
      </c>
      <c r="BG281" s="1045">
        <f t="shared" si="587"/>
        <v>0</v>
      </c>
      <c r="BH281" s="1045" t="e">
        <f t="shared" si="587"/>
        <v>#DIV/0!</v>
      </c>
      <c r="BI281" s="1045" t="e">
        <f t="shared" si="584"/>
        <v>#DIV/0!</v>
      </c>
      <c r="BJ281" s="1283">
        <f t="shared" si="491"/>
        <v>451000000</v>
      </c>
      <c r="BK281" s="1046">
        <f t="shared" si="492"/>
        <v>167417441</v>
      </c>
      <c r="BL281" s="1047">
        <f t="shared" si="489"/>
        <v>0.37121383813747227</v>
      </c>
      <c r="BM281" s="1046">
        <f t="shared" si="490"/>
        <v>160207756.26999998</v>
      </c>
      <c r="BN281" s="1048">
        <f t="shared" si="622"/>
        <v>0.35522784095343679</v>
      </c>
      <c r="BO281" s="2101"/>
      <c r="BP281" s="1409" t="s">
        <v>2278</v>
      </c>
      <c r="BQ281" s="2256" t="s">
        <v>2833</v>
      </c>
      <c r="BR281" s="1146" t="s">
        <v>596</v>
      </c>
    </row>
    <row r="282" spans="1:70" ht="12.75" customHeight="1" thickBot="1">
      <c r="A282" s="2257" t="s">
        <v>2834</v>
      </c>
      <c r="B282" s="2258" t="s">
        <v>2835</v>
      </c>
      <c r="C282" s="1554" t="s">
        <v>597</v>
      </c>
      <c r="D282" s="2259">
        <v>1</v>
      </c>
      <c r="E282" s="2260">
        <v>1</v>
      </c>
      <c r="F282" s="2260">
        <v>1</v>
      </c>
      <c r="G282" s="2261">
        <v>1</v>
      </c>
      <c r="H282" s="2206">
        <v>0.96599999999999997</v>
      </c>
      <c r="I282" s="1514">
        <v>0.97799999999999998</v>
      </c>
      <c r="J282" s="1060"/>
      <c r="K282" s="1060"/>
      <c r="L282" s="1060"/>
      <c r="M282" s="1061"/>
      <c r="N282" s="1061"/>
      <c r="O282" s="1061"/>
      <c r="P282" s="1062">
        <f t="shared" si="635"/>
        <v>0.96599999999999997</v>
      </c>
      <c r="Q282" s="1032">
        <f t="shared" si="635"/>
        <v>0.97799999999999998</v>
      </c>
      <c r="R282" s="1062"/>
      <c r="S282" s="1062"/>
      <c r="T282" s="1894" t="s">
        <v>2836</v>
      </c>
      <c r="U282" s="1034">
        <v>46022</v>
      </c>
      <c r="V282" s="1035">
        <f t="shared" si="636"/>
        <v>4</v>
      </c>
      <c r="W282" s="1035">
        <f t="shared" si="637"/>
        <v>1.944</v>
      </c>
      <c r="X282" s="1327">
        <f t="shared" si="549"/>
        <v>0.48599999999999999</v>
      </c>
      <c r="Y282" s="1065">
        <v>0.15</v>
      </c>
      <c r="Z282" s="1065">
        <v>0.15</v>
      </c>
      <c r="AA282" s="1065">
        <v>0.15</v>
      </c>
      <c r="AB282" s="1065">
        <v>0.7</v>
      </c>
      <c r="AC282" s="1065">
        <v>0.7</v>
      </c>
      <c r="AD282" s="1066">
        <v>266000000</v>
      </c>
      <c r="AE282" s="1066">
        <v>342000000</v>
      </c>
      <c r="AF282" s="1066">
        <v>522500000</v>
      </c>
      <c r="AG282" s="1066">
        <v>640000000</v>
      </c>
      <c r="AH282" s="1066">
        <v>257776163</v>
      </c>
      <c r="AI282" s="1066">
        <v>340816381</v>
      </c>
      <c r="AJ282" s="1066"/>
      <c r="AK282" s="1066"/>
      <c r="AL282" s="1074">
        <f t="shared" si="585"/>
        <v>0.96908331954887217</v>
      </c>
      <c r="AM282" s="1074">
        <f t="shared" si="585"/>
        <v>0.99653912573099412</v>
      </c>
      <c r="AN282" s="1074">
        <f t="shared" si="585"/>
        <v>0</v>
      </c>
      <c r="AO282" s="1074">
        <f t="shared" si="585"/>
        <v>0</v>
      </c>
      <c r="AP282" s="1070">
        <v>254076442</v>
      </c>
      <c r="AQ282" s="1068">
        <v>331772051.62</v>
      </c>
      <c r="AR282" s="1560"/>
      <c r="AS282" s="1069"/>
      <c r="AT282" s="1140">
        <f t="shared" si="586"/>
        <v>0.95517459398496241</v>
      </c>
      <c r="AU282" s="1140">
        <f t="shared" si="586"/>
        <v>0.97009371818713452</v>
      </c>
      <c r="AV282" s="1140">
        <f t="shared" si="586"/>
        <v>0</v>
      </c>
      <c r="AW282" s="1140">
        <f t="shared" si="583"/>
        <v>0</v>
      </c>
      <c r="AX282" s="1044">
        <f t="shared" si="638"/>
        <v>3699721</v>
      </c>
      <c r="AY282" s="1044">
        <f t="shared" si="638"/>
        <v>9044329.3799999952</v>
      </c>
      <c r="AZ282" s="1044">
        <f t="shared" si="638"/>
        <v>0</v>
      </c>
      <c r="BA282" s="1044">
        <f t="shared" si="638"/>
        <v>0</v>
      </c>
      <c r="BB282" s="1070"/>
      <c r="BC282" s="1070"/>
      <c r="BD282" s="1070"/>
      <c r="BE282" s="1070"/>
      <c r="BF282" s="1071">
        <f t="shared" si="587"/>
        <v>0</v>
      </c>
      <c r="BG282" s="1071">
        <f t="shared" si="587"/>
        <v>0</v>
      </c>
      <c r="BH282" s="1071" t="e">
        <f t="shared" si="587"/>
        <v>#DIV/0!</v>
      </c>
      <c r="BI282" s="1071" t="e">
        <f t="shared" si="584"/>
        <v>#DIV/0!</v>
      </c>
      <c r="BJ282" s="1070">
        <f t="shared" si="491"/>
        <v>1770500000</v>
      </c>
      <c r="BK282" s="1072">
        <f t="shared" si="492"/>
        <v>598592544</v>
      </c>
      <c r="BL282" s="1073">
        <f t="shared" si="489"/>
        <v>0.33809237164642758</v>
      </c>
      <c r="BM282" s="1072">
        <f t="shared" si="490"/>
        <v>585848493.62</v>
      </c>
      <c r="BN282" s="1074">
        <f t="shared" si="622"/>
        <v>0.33089437651510872</v>
      </c>
      <c r="BO282" s="2106"/>
      <c r="BP282" s="1321" t="s">
        <v>2278</v>
      </c>
      <c r="BQ282" s="2165" t="s">
        <v>2833</v>
      </c>
      <c r="BR282" s="1083" t="s">
        <v>596</v>
      </c>
    </row>
    <row r="283" spans="1:70" ht="12.75" customHeight="1" thickBot="1">
      <c r="A283" s="2262" t="s">
        <v>2837</v>
      </c>
      <c r="B283" s="2263" t="s">
        <v>2838</v>
      </c>
      <c r="C283" s="2264" t="s">
        <v>597</v>
      </c>
      <c r="D283" s="2265">
        <v>1</v>
      </c>
      <c r="E283" s="2173">
        <v>1</v>
      </c>
      <c r="F283" s="2173">
        <v>1</v>
      </c>
      <c r="G283" s="2174">
        <v>1</v>
      </c>
      <c r="H283" s="2160">
        <v>0.90290000000000004</v>
      </c>
      <c r="I283" s="1878">
        <v>0.9224</v>
      </c>
      <c r="J283" s="1182"/>
      <c r="K283" s="1182"/>
      <c r="L283" s="1182"/>
      <c r="M283" s="1101"/>
      <c r="N283" s="1101"/>
      <c r="O283" s="1101"/>
      <c r="P283" s="1102">
        <f t="shared" si="635"/>
        <v>0.90290000000000004</v>
      </c>
      <c r="Q283" s="1032">
        <f t="shared" si="635"/>
        <v>0.9224</v>
      </c>
      <c r="R283" s="1102"/>
      <c r="S283" s="1102"/>
      <c r="T283" s="1686" t="s">
        <v>2839</v>
      </c>
      <c r="U283" s="1034">
        <v>46022</v>
      </c>
      <c r="V283" s="1035">
        <f t="shared" si="636"/>
        <v>4</v>
      </c>
      <c r="W283" s="1035">
        <f t="shared" si="637"/>
        <v>1.8252999999999999</v>
      </c>
      <c r="X283" s="1291">
        <f t="shared" si="549"/>
        <v>0.45632499999999998</v>
      </c>
      <c r="Y283" s="1104">
        <v>0.8</v>
      </c>
      <c r="Z283" s="1104">
        <v>0.8</v>
      </c>
      <c r="AA283" s="1104">
        <v>0.8</v>
      </c>
      <c r="AB283" s="1104">
        <v>0</v>
      </c>
      <c r="AC283" s="1104">
        <v>0</v>
      </c>
      <c r="AD283" s="1106">
        <f>10331976946.31+1050000000</f>
        <v>11381976946.309999</v>
      </c>
      <c r="AE283" s="1185">
        <v>4916451720.0900002</v>
      </c>
      <c r="AF283" s="1185">
        <v>0</v>
      </c>
      <c r="AG283" s="1185">
        <v>0</v>
      </c>
      <c r="AH283" s="1185">
        <f>9226556432+1050000000</f>
        <v>10276556432</v>
      </c>
      <c r="AI283" s="1106">
        <v>4534861556.6300001</v>
      </c>
      <c r="AJ283" s="1106"/>
      <c r="AK283" s="1106"/>
      <c r="AL283" s="1112">
        <f t="shared" si="585"/>
        <v>0.90287974404408078</v>
      </c>
      <c r="AM283" s="1112">
        <f t="shared" si="585"/>
        <v>0.92238504816375688</v>
      </c>
      <c r="AN283" s="1112" t="e">
        <f t="shared" si="585"/>
        <v>#DIV/0!</v>
      </c>
      <c r="AO283" s="1112" t="e">
        <f t="shared" si="585"/>
        <v>#DIV/0!</v>
      </c>
      <c r="AP283" s="1186">
        <f>9226556432+1050000000</f>
        <v>10276556432</v>
      </c>
      <c r="AQ283" s="1187">
        <v>4534861556.54</v>
      </c>
      <c r="AR283" s="1567"/>
      <c r="AS283" s="1188"/>
      <c r="AT283" s="1189">
        <f t="shared" si="586"/>
        <v>0.90287974404408078</v>
      </c>
      <c r="AU283" s="1189">
        <f t="shared" si="586"/>
        <v>0.92238504814545097</v>
      </c>
      <c r="AV283" s="1189" t="e">
        <f t="shared" si="586"/>
        <v>#DIV/0!</v>
      </c>
      <c r="AW283" s="1189" t="e">
        <f t="shared" si="583"/>
        <v>#DIV/0!</v>
      </c>
      <c r="AX283" s="1044">
        <f t="shared" si="638"/>
        <v>0</v>
      </c>
      <c r="AY283" s="1044">
        <f t="shared" si="638"/>
        <v>9.0000152587890625E-2</v>
      </c>
      <c r="AZ283" s="1044">
        <f t="shared" si="638"/>
        <v>0</v>
      </c>
      <c r="BA283" s="1044">
        <f t="shared" si="638"/>
        <v>0</v>
      </c>
      <c r="BB283" s="1107"/>
      <c r="BC283" s="1107"/>
      <c r="BD283" s="1107"/>
      <c r="BE283" s="1107"/>
      <c r="BF283" s="1190" t="e">
        <f t="shared" si="587"/>
        <v>#DIV/0!</v>
      </c>
      <c r="BG283" s="1190">
        <f t="shared" si="587"/>
        <v>0</v>
      </c>
      <c r="BH283" s="1190" t="e">
        <f t="shared" si="587"/>
        <v>#DIV/0!</v>
      </c>
      <c r="BI283" s="1190" t="e">
        <f t="shared" si="584"/>
        <v>#DIV/0!</v>
      </c>
      <c r="BJ283" s="1107">
        <f t="shared" si="491"/>
        <v>16298428666.4</v>
      </c>
      <c r="BK283" s="1110">
        <f t="shared" si="492"/>
        <v>14811417988.630001</v>
      </c>
      <c r="BL283" s="1111">
        <f t="shared" si="489"/>
        <v>0.90876355578770962</v>
      </c>
      <c r="BM283" s="1110">
        <f t="shared" si="490"/>
        <v>14811417988.540001</v>
      </c>
      <c r="BN283" s="1112">
        <f t="shared" si="622"/>
        <v>0.90876355578218759</v>
      </c>
      <c r="BO283" s="2106" t="s">
        <v>2653</v>
      </c>
      <c r="BP283" s="2116" t="s">
        <v>596</v>
      </c>
      <c r="BQ283" s="2266" t="s">
        <v>2193</v>
      </c>
      <c r="BR283" s="1191" t="s">
        <v>596</v>
      </c>
    </row>
    <row r="284" spans="1:70" ht="12.75" customHeight="1" thickBot="1">
      <c r="A284" s="2344" t="s">
        <v>2840</v>
      </c>
      <c r="B284" s="2345"/>
      <c r="C284" s="2346"/>
      <c r="D284" s="2267"/>
      <c r="E284" s="2267"/>
      <c r="F284" s="2267"/>
      <c r="G284" s="2267"/>
      <c r="H284" s="2267"/>
      <c r="I284" s="2267"/>
      <c r="J284" s="2267"/>
      <c r="K284" s="2267"/>
      <c r="L284" s="2267"/>
      <c r="M284" s="2267"/>
      <c r="N284" s="2267"/>
      <c r="O284" s="2267"/>
      <c r="P284" s="2300">
        <f>(P7*Z7)+(P41*Z41)+(P76*Z76)+(P111*Z111)+(P150*Z150)+(P194*Z194)</f>
        <v>0.98939917213114759</v>
      </c>
      <c r="Q284" s="2300">
        <f>(Q7*AA7)+(Q41*AA41)+(Q76*AA76)+(Q111*AA111)+(Q150*AA150)+(Q194*AA194)</f>
        <v>0.93485588020833321</v>
      </c>
      <c r="R284" s="2268" t="e">
        <f>(R7*AB7)+(R41*AB41)+(R76*AB76)+(R111*AB111)+(R150*AB150)+(R194*AB194)</f>
        <v>#DIV/0!</v>
      </c>
      <c r="S284" s="2268" t="e">
        <f>(S7*AC7)+(S41*AC41)+(S76*AC76)+(S111*AC111)+(S150*AC150)+(S194*AC194)</f>
        <v>#DIV/0!</v>
      </c>
      <c r="T284" s="2269"/>
      <c r="U284" s="2270"/>
      <c r="V284" s="2271"/>
      <c r="W284" s="2271"/>
      <c r="X284" s="2268">
        <f>(X7*Y7)+(X41*Y41)+(X76*Y76)+(X111*Y111)+(X150*Y150)+(X194*Y194)</f>
        <v>0.47287834969937981</v>
      </c>
      <c r="Y284" s="1104"/>
      <c r="Z284" s="1104"/>
      <c r="AA284" s="1104"/>
      <c r="AB284" s="1104"/>
      <c r="AC284" s="1104"/>
      <c r="AD284" s="2272">
        <f t="shared" ref="AD284:AK284" si="639">+AD7+AD41+AD76+AD111+AD150+AD194</f>
        <v>131601583939.99998</v>
      </c>
      <c r="AE284" s="2272">
        <f t="shared" si="639"/>
        <v>143105861530.19</v>
      </c>
      <c r="AF284" s="2272">
        <f t="shared" si="639"/>
        <v>132229246214.6516</v>
      </c>
      <c r="AG284" s="2272">
        <f t="shared" si="639"/>
        <v>142650729525.38651</v>
      </c>
      <c r="AH284" s="2272">
        <f t="shared" si="639"/>
        <v>115017440763.67001</v>
      </c>
      <c r="AI284" s="2272">
        <f t="shared" si="639"/>
        <v>134606265343.00002</v>
      </c>
      <c r="AJ284" s="2272">
        <f t="shared" si="639"/>
        <v>0</v>
      </c>
      <c r="AK284" s="2272">
        <f t="shared" si="639"/>
        <v>0</v>
      </c>
      <c r="AL284" s="2273">
        <f t="shared" si="585"/>
        <v>0.87398219170453872</v>
      </c>
      <c r="AM284" s="2273">
        <f t="shared" si="585"/>
        <v>0.94060623306197078</v>
      </c>
      <c r="AN284" s="2273">
        <f t="shared" si="585"/>
        <v>0</v>
      </c>
      <c r="AO284" s="2273">
        <f t="shared" si="585"/>
        <v>0</v>
      </c>
      <c r="AP284" s="2274">
        <f>+AP7+AP41+AP76+AP111+AP150+AP194</f>
        <v>102745434761.67</v>
      </c>
      <c r="AQ284" s="2274">
        <f>+AQ7+AQ41+AQ76+AQ111+AQ150+AQ194</f>
        <v>114053186262.23</v>
      </c>
      <c r="AR284" s="2275">
        <f>+AR7+AR36+AR48+AR60+AR76</f>
        <v>0</v>
      </c>
      <c r="AS284" s="2275">
        <f>+AS7+AS36+AS48+AS60+AS76</f>
        <v>0</v>
      </c>
      <c r="AT284" s="2273">
        <f t="shared" si="586"/>
        <v>0.78073098883455594</v>
      </c>
      <c r="AU284" s="2273">
        <f t="shared" si="586"/>
        <v>0.79698472894605388</v>
      </c>
      <c r="AV284" s="2273">
        <f t="shared" si="586"/>
        <v>0</v>
      </c>
      <c r="AW284" s="2273">
        <f t="shared" si="583"/>
        <v>0</v>
      </c>
      <c r="AX284" s="2274">
        <f t="shared" ref="AX284:BE284" si="640">+AX7+AX41+AX76+AX111+AX150+AX194</f>
        <v>12272006002.000004</v>
      </c>
      <c r="AY284" s="2274">
        <f t="shared" si="640"/>
        <v>20553079080.77</v>
      </c>
      <c r="AZ284" s="2274">
        <f t="shared" si="640"/>
        <v>0</v>
      </c>
      <c r="BA284" s="2274">
        <f t="shared" si="640"/>
        <v>0</v>
      </c>
      <c r="BB284" s="2274">
        <f t="shared" si="640"/>
        <v>0</v>
      </c>
      <c r="BC284" s="2274">
        <f t="shared" si="640"/>
        <v>0</v>
      </c>
      <c r="BD284" s="2274">
        <f t="shared" si="640"/>
        <v>0</v>
      </c>
      <c r="BE284" s="2274">
        <f t="shared" si="640"/>
        <v>0</v>
      </c>
      <c r="BF284" s="2276">
        <f t="shared" si="587"/>
        <v>0</v>
      </c>
      <c r="BG284" s="2276">
        <f t="shared" si="587"/>
        <v>0</v>
      </c>
      <c r="BH284" s="2276" t="e">
        <f t="shared" si="587"/>
        <v>#DIV/0!</v>
      </c>
      <c r="BI284" s="2276" t="e">
        <f t="shared" si="584"/>
        <v>#DIV/0!</v>
      </c>
      <c r="BJ284" s="2274">
        <f t="shared" si="491"/>
        <v>549587421210.22815</v>
      </c>
      <c r="BK284" s="2277">
        <f t="shared" si="492"/>
        <v>249623706106.67004</v>
      </c>
      <c r="BL284" s="2278">
        <f t="shared" ref="BL284" si="641">+BK284/BJ284</f>
        <v>0.45420200039691955</v>
      </c>
      <c r="BM284" s="2277">
        <f t="shared" ref="BM284" si="642">+AP284+AQ284+AR284+AS284</f>
        <v>216798621023.89999</v>
      </c>
      <c r="BN284" s="2273">
        <f t="shared" si="622"/>
        <v>0.3944752238806612</v>
      </c>
      <c r="BO284" s="2270"/>
      <c r="BP284" s="2270"/>
      <c r="BQ284" s="2270"/>
      <c r="BR284" s="2270"/>
    </row>
    <row r="285" spans="1:70" ht="12.75" customHeight="1">
      <c r="A285" s="2270"/>
      <c r="B285" s="2270"/>
      <c r="C285" s="2270"/>
      <c r="D285" s="2270"/>
      <c r="E285" s="2279"/>
      <c r="F285" s="2279"/>
      <c r="G285" s="2280"/>
      <c r="H285" s="2279"/>
      <c r="I285" s="2279"/>
      <c r="J285" s="2280"/>
      <c r="K285" s="2279"/>
      <c r="L285" s="2279"/>
      <c r="M285" s="2280"/>
      <c r="N285" s="2280"/>
      <c r="O285" s="2280"/>
      <c r="P285" s="2280"/>
      <c r="Q285" s="2279"/>
      <c r="R285" s="2279"/>
      <c r="S285" s="2279"/>
      <c r="T285" s="2281"/>
      <c r="U285" s="2270"/>
      <c r="V285" s="2279"/>
      <c r="W285" s="2279"/>
      <c r="X285" s="2282"/>
      <c r="Y285" s="2283"/>
      <c r="Z285" s="2270"/>
      <c r="AA285" s="2270"/>
      <c r="AB285" s="2270"/>
      <c r="AC285" s="2270"/>
      <c r="AD285" s="2279"/>
      <c r="AE285" s="2284"/>
      <c r="AF285" s="2279"/>
      <c r="AG285" s="2279"/>
      <c r="AH285" s="2270"/>
      <c r="AI285" s="2270"/>
      <c r="AJ285" s="2285"/>
      <c r="AK285" s="2285"/>
      <c r="AL285" s="2286"/>
      <c r="AM285" s="2286"/>
      <c r="AN285" s="2286"/>
      <c r="AO285" s="2286"/>
      <c r="AP285" s="2286"/>
      <c r="AQ285" s="2286"/>
      <c r="AR285" s="2285"/>
      <c r="AS285" s="2285"/>
      <c r="AT285" s="2287"/>
      <c r="AU285" s="2287"/>
      <c r="AV285" s="2287"/>
      <c r="AW285" s="2287"/>
      <c r="AX285" s="2288"/>
      <c r="AY285" s="2270"/>
      <c r="AZ285" s="2270"/>
      <c r="BA285" s="2270"/>
      <c r="BB285" s="2270"/>
      <c r="BC285" s="2270"/>
      <c r="BD285" s="2270"/>
      <c r="BE285" s="2270"/>
      <c r="BF285" s="2270"/>
      <c r="BG285" s="2270"/>
      <c r="BH285" s="2270"/>
      <c r="BI285" s="2279"/>
      <c r="BJ285" s="2270"/>
      <c r="BK285" s="2270"/>
      <c r="BL285" s="2270"/>
      <c r="BM285" s="2270"/>
      <c r="BN285" s="2270"/>
      <c r="BO285" s="2270"/>
      <c r="BP285" s="2270"/>
      <c r="BQ285" s="2270"/>
      <c r="BR285" s="2270"/>
    </row>
    <row r="286" spans="1:70" ht="12.75" customHeight="1">
      <c r="A286" s="2270"/>
      <c r="B286" s="2270"/>
      <c r="C286" s="2270"/>
      <c r="D286" s="2270"/>
      <c r="E286" s="2279"/>
      <c r="F286" s="2279"/>
      <c r="G286" s="2280"/>
      <c r="H286" s="2279"/>
      <c r="I286" s="2279"/>
      <c r="J286" s="2280"/>
      <c r="K286" s="2279"/>
      <c r="L286" s="2279"/>
      <c r="M286" s="2280"/>
      <c r="N286" s="2280"/>
      <c r="O286" s="2280"/>
      <c r="P286" s="2280"/>
      <c r="Q286" s="2279"/>
      <c r="R286" s="2279"/>
      <c r="S286" s="2279"/>
      <c r="T286" s="2281"/>
      <c r="U286" s="2270"/>
      <c r="V286" s="2279"/>
      <c r="W286" s="2279"/>
      <c r="X286" s="2282"/>
      <c r="Y286" s="2283"/>
      <c r="Z286" s="2270"/>
      <c r="AA286" s="2270"/>
      <c r="AB286" s="2270"/>
      <c r="AC286" s="2270"/>
      <c r="AD286" s="2279"/>
      <c r="AE286" s="2279" t="s">
        <v>618</v>
      </c>
      <c r="AF286" s="2279"/>
      <c r="AG286" s="2279"/>
      <c r="AH286" s="2270"/>
      <c r="AI286" s="2270"/>
      <c r="AJ286" s="2285"/>
      <c r="AK286" s="2285"/>
      <c r="AL286" s="2286"/>
      <c r="AM286" s="2286"/>
      <c r="AN286" s="2286"/>
      <c r="AO286" s="2286"/>
      <c r="AP286" s="2286"/>
      <c r="AQ286" s="2286"/>
      <c r="AR286" s="2285"/>
      <c r="AS286" s="2285"/>
      <c r="AT286" s="2287"/>
      <c r="AU286" s="2287"/>
      <c r="AV286" s="2287"/>
      <c r="AW286" s="2287"/>
      <c r="AX286" s="2288"/>
      <c r="AY286" s="2270"/>
      <c r="AZ286" s="2270"/>
      <c r="BA286" s="2270"/>
      <c r="BB286" s="2270"/>
      <c r="BC286" s="2270"/>
      <c r="BD286" s="2270"/>
      <c r="BE286" s="2270"/>
      <c r="BF286" s="2270"/>
      <c r="BG286" s="2270"/>
      <c r="BH286" s="2270"/>
      <c r="BI286" s="2279"/>
      <c r="BJ286" s="2270"/>
      <c r="BK286" s="2270"/>
      <c r="BL286" s="2270"/>
      <c r="BM286" s="2270"/>
      <c r="BN286" s="2270"/>
      <c r="BO286" s="2270"/>
      <c r="BP286" s="2270"/>
      <c r="BQ286" s="2270"/>
      <c r="BR286" s="2270"/>
    </row>
    <row r="287" spans="1:70" ht="12.75" customHeight="1">
      <c r="A287" s="2270"/>
      <c r="B287" s="2270"/>
      <c r="C287" s="2270"/>
      <c r="D287" s="2270"/>
      <c r="E287" s="2279"/>
      <c r="F287" s="2279"/>
      <c r="G287" s="2280"/>
      <c r="H287" s="2279"/>
      <c r="I287" s="2279"/>
      <c r="J287" s="2280"/>
      <c r="K287" s="2279"/>
      <c r="L287" s="2279"/>
      <c r="M287" s="2280"/>
      <c r="N287" s="2280"/>
      <c r="O287" s="2280"/>
      <c r="P287" s="2280"/>
      <c r="Q287" s="2279"/>
      <c r="R287" s="2279"/>
      <c r="S287" s="2279"/>
      <c r="T287" s="2281"/>
      <c r="U287" s="2270"/>
      <c r="V287" s="2279"/>
      <c r="W287" s="2279"/>
      <c r="X287" s="2282"/>
      <c r="Y287" s="2283"/>
      <c r="Z287" s="2270"/>
      <c r="AA287" s="2270"/>
      <c r="AB287" s="2270"/>
      <c r="AC287" s="2270"/>
      <c r="AD287" s="2279"/>
      <c r="AE287" s="2279"/>
      <c r="AF287" s="2279"/>
      <c r="AG287" s="2279"/>
      <c r="AH287" s="2270"/>
      <c r="AI287" s="2270"/>
      <c r="AJ287" s="2285"/>
      <c r="AK287" s="2285"/>
      <c r="AL287" s="2286"/>
      <c r="AM287" s="2286"/>
      <c r="AN287" s="2286"/>
      <c r="AO287" s="2286"/>
      <c r="AP287" s="2286"/>
      <c r="AQ287" s="2286"/>
      <c r="AR287" s="2285"/>
      <c r="AS287" s="2285"/>
      <c r="AT287" s="2287"/>
      <c r="AU287" s="2287"/>
      <c r="AV287" s="2287"/>
      <c r="AW287" s="2287"/>
      <c r="AX287" s="2288"/>
      <c r="AY287" s="2270"/>
      <c r="AZ287" s="2270"/>
      <c r="BA287" s="2270"/>
      <c r="BB287" s="2270"/>
      <c r="BC287" s="2270"/>
      <c r="BD287" s="2270"/>
      <c r="BE287" s="2270"/>
      <c r="BF287" s="2270"/>
      <c r="BG287" s="2270"/>
      <c r="BH287" s="2270"/>
      <c r="BI287" s="2279"/>
      <c r="BJ287" s="2270"/>
      <c r="BK287" s="2270"/>
      <c r="BL287" s="2270"/>
      <c r="BM287" s="2270"/>
      <c r="BN287" s="2270"/>
      <c r="BO287" s="2270"/>
      <c r="BP287" s="2270"/>
      <c r="BQ287" s="2270"/>
      <c r="BR287" s="2270"/>
    </row>
    <row r="288" spans="1:70" ht="12.75" customHeight="1">
      <c r="A288" s="2270"/>
      <c r="B288" s="2270"/>
      <c r="C288" s="2270"/>
      <c r="D288" s="2270"/>
      <c r="E288" s="2279"/>
      <c r="F288" s="2279"/>
      <c r="G288" s="2280"/>
      <c r="H288" s="2279"/>
      <c r="I288" s="2279"/>
      <c r="J288" s="2280"/>
      <c r="K288" s="2279"/>
      <c r="L288" s="2279"/>
      <c r="M288" s="2280"/>
      <c r="N288" s="2280"/>
      <c r="O288" s="2280"/>
      <c r="P288" s="2280"/>
      <c r="Q288" s="2279"/>
      <c r="R288" s="2279"/>
      <c r="S288" s="2279"/>
      <c r="T288" s="2281"/>
      <c r="U288" s="2270"/>
      <c r="V288" s="2279"/>
      <c r="W288" s="2279"/>
      <c r="X288" s="2282"/>
      <c r="Y288" s="2283"/>
      <c r="Z288" s="2270"/>
      <c r="AA288" s="2270"/>
      <c r="AB288" s="2270"/>
      <c r="AC288" s="2270"/>
      <c r="AD288" s="2279"/>
      <c r="AE288" s="2279"/>
      <c r="AF288" s="2279"/>
      <c r="AG288" s="2279"/>
      <c r="AH288" s="2270"/>
      <c r="AI288" s="2270"/>
      <c r="AJ288" s="2285"/>
      <c r="AK288" s="2285"/>
      <c r="AL288" s="2286"/>
      <c r="AM288" s="2286"/>
      <c r="AN288" s="2286"/>
      <c r="AO288" s="2286"/>
      <c r="AP288" s="2286"/>
      <c r="AQ288" s="2286"/>
      <c r="AR288" s="2285"/>
      <c r="AS288" s="2285"/>
      <c r="AT288" s="2287"/>
      <c r="AU288" s="2287"/>
      <c r="AV288" s="2287"/>
      <c r="AW288" s="2287"/>
      <c r="AX288" s="2288"/>
      <c r="AY288" s="2270"/>
      <c r="AZ288" s="2270"/>
      <c r="BA288" s="2270"/>
      <c r="BB288" s="2270"/>
      <c r="BC288" s="2270"/>
      <c r="BD288" s="2270"/>
      <c r="BE288" s="2270"/>
      <c r="BF288" s="2270"/>
      <c r="BG288" s="2270"/>
      <c r="BH288" s="2270"/>
      <c r="BI288" s="2279"/>
      <c r="BJ288" s="2270"/>
      <c r="BK288" s="2270"/>
      <c r="BL288" s="2270"/>
      <c r="BM288" s="2270"/>
      <c r="BN288" s="2270"/>
      <c r="BO288" s="2270"/>
      <c r="BP288" s="2270"/>
      <c r="BQ288" s="2270"/>
      <c r="BR288" s="2270"/>
    </row>
    <row r="289" spans="1:70" ht="12.75" customHeight="1">
      <c r="A289" s="2270"/>
      <c r="B289" s="2270"/>
      <c r="C289" s="2270"/>
      <c r="D289" s="2270"/>
      <c r="E289" s="2279"/>
      <c r="F289" s="2279"/>
      <c r="G289" s="2280"/>
      <c r="H289" s="2279"/>
      <c r="I289" s="2279"/>
      <c r="J289" s="2280"/>
      <c r="K289" s="2279"/>
      <c r="L289" s="2279"/>
      <c r="M289" s="2280"/>
      <c r="N289" s="2280"/>
      <c r="O289" s="2280"/>
      <c r="P289" s="2280"/>
      <c r="Q289" s="2279"/>
      <c r="R289" s="2279"/>
      <c r="S289" s="2279"/>
      <c r="T289" s="2281"/>
      <c r="U289" s="2270"/>
      <c r="V289" s="2279"/>
      <c r="W289" s="2279"/>
      <c r="X289" s="2282"/>
      <c r="Y289" s="2283"/>
      <c r="Z289" s="2270"/>
      <c r="AA289" s="2270"/>
      <c r="AB289" s="2270"/>
      <c r="AC289" s="2270"/>
      <c r="AD289" s="2279"/>
      <c r="AE289" s="2279"/>
      <c r="AF289" s="2279"/>
      <c r="AG289" s="2279"/>
      <c r="AH289" s="2270"/>
      <c r="AI289" s="2270"/>
      <c r="AJ289" s="2285"/>
      <c r="AK289" s="2285"/>
      <c r="AL289" s="2286"/>
      <c r="AM289" s="2286"/>
      <c r="AN289" s="2286"/>
      <c r="AO289" s="2286"/>
      <c r="AP289" s="2286"/>
      <c r="AQ289" s="2286"/>
      <c r="AR289" s="2285"/>
      <c r="AS289" s="2285"/>
      <c r="AT289" s="2287"/>
      <c r="AU289" s="2287"/>
      <c r="AV289" s="2287"/>
      <c r="AW289" s="2287"/>
      <c r="AX289" s="2288"/>
      <c r="AY289" s="2270"/>
      <c r="AZ289" s="2270"/>
      <c r="BA289" s="2270"/>
      <c r="BB289" s="2270"/>
      <c r="BC289" s="2270"/>
      <c r="BD289" s="2270"/>
      <c r="BE289" s="2270"/>
      <c r="BF289" s="2270"/>
      <c r="BG289" s="2270"/>
      <c r="BH289" s="2270"/>
      <c r="BI289" s="2279"/>
      <c r="BJ289" s="2270"/>
      <c r="BK289" s="2270"/>
      <c r="BL289" s="2270"/>
      <c r="BM289" s="2270"/>
      <c r="BN289" s="2270"/>
      <c r="BO289" s="2270"/>
      <c r="BP289" s="2270"/>
      <c r="BQ289" s="2270"/>
      <c r="BR289" s="2270"/>
    </row>
    <row r="290" spans="1:70" ht="12.75" customHeight="1">
      <c r="A290" s="2270"/>
      <c r="B290" s="2270"/>
      <c r="C290" s="2270"/>
      <c r="D290" s="2270"/>
      <c r="E290" s="2279"/>
      <c r="F290" s="2279"/>
      <c r="G290" s="2280"/>
      <c r="H290" s="2279"/>
      <c r="I290" s="2279"/>
      <c r="J290" s="2280"/>
      <c r="K290" s="2279"/>
      <c r="L290" s="2279"/>
      <c r="M290" s="2280"/>
      <c r="N290" s="2280"/>
      <c r="O290" s="2280"/>
      <c r="P290" s="2280"/>
      <c r="Q290" s="2279"/>
      <c r="R290" s="2279"/>
      <c r="S290" s="2279"/>
      <c r="T290" s="2281"/>
      <c r="U290" s="2270"/>
      <c r="V290" s="2279"/>
      <c r="W290" s="2279"/>
      <c r="X290" s="2282"/>
      <c r="Y290" s="2283"/>
      <c r="Z290" s="2270"/>
      <c r="AA290" s="2270"/>
      <c r="AB290" s="2270"/>
      <c r="AC290" s="2270"/>
      <c r="AD290" s="2279"/>
      <c r="AE290" s="2279"/>
      <c r="AF290" s="2279"/>
      <c r="AG290" s="2279"/>
      <c r="AH290" s="2270"/>
      <c r="AI290" s="2270"/>
      <c r="AJ290" s="2285"/>
      <c r="AK290" s="2285"/>
      <c r="AL290" s="2286"/>
      <c r="AM290" s="2286"/>
      <c r="AN290" s="2286"/>
      <c r="AO290" s="2286"/>
      <c r="AP290" s="2286"/>
      <c r="AQ290" s="2286"/>
      <c r="AR290" s="2285"/>
      <c r="AS290" s="2285"/>
      <c r="AT290" s="2287"/>
      <c r="AU290" s="2287"/>
      <c r="AV290" s="2287"/>
      <c r="AW290" s="2287"/>
      <c r="AX290" s="2288"/>
      <c r="AY290" s="2270"/>
      <c r="AZ290" s="2270"/>
      <c r="BA290" s="2270"/>
      <c r="BB290" s="2270"/>
      <c r="BC290" s="2270"/>
      <c r="BD290" s="2270"/>
      <c r="BE290" s="2270"/>
      <c r="BF290" s="2270"/>
      <c r="BG290" s="2270"/>
      <c r="BH290" s="2270"/>
      <c r="BI290" s="2279"/>
      <c r="BJ290" s="2270"/>
      <c r="BK290" s="2270"/>
      <c r="BL290" s="2270"/>
      <c r="BM290" s="2270"/>
      <c r="BN290" s="2270"/>
      <c r="BO290" s="2270"/>
      <c r="BP290" s="2270"/>
      <c r="BQ290" s="2270"/>
      <c r="BR290" s="2270"/>
    </row>
    <row r="291" spans="1:70" ht="12.75" customHeight="1">
      <c r="A291" s="2270"/>
      <c r="B291" s="2270"/>
      <c r="C291" s="2270"/>
      <c r="D291" s="2270"/>
      <c r="E291" s="2279"/>
      <c r="F291" s="2279"/>
      <c r="G291" s="2280"/>
      <c r="H291" s="2279"/>
      <c r="I291" s="2279"/>
      <c r="J291" s="2280"/>
      <c r="K291" s="2279"/>
      <c r="L291" s="2279"/>
      <c r="M291" s="2280"/>
      <c r="N291" s="2280"/>
      <c r="O291" s="2280"/>
      <c r="P291" s="2280"/>
      <c r="Q291" s="2279"/>
      <c r="R291" s="2279"/>
      <c r="S291" s="2279"/>
      <c r="T291" s="2281"/>
      <c r="U291" s="2270"/>
      <c r="V291" s="2279"/>
      <c r="W291" s="2279"/>
      <c r="X291" s="2282"/>
      <c r="Y291" s="2283"/>
      <c r="Z291" s="2270"/>
      <c r="AA291" s="2270"/>
      <c r="AB291" s="2270"/>
      <c r="AC291" s="2270"/>
      <c r="AD291" s="2279"/>
      <c r="AE291" s="2279"/>
      <c r="AF291" s="2279"/>
      <c r="AG291" s="2279"/>
      <c r="AH291" s="2270"/>
      <c r="AI291" s="2270"/>
      <c r="AJ291" s="2285"/>
      <c r="AK291" s="2285"/>
      <c r="AL291" s="2286"/>
      <c r="AM291" s="2286"/>
      <c r="AN291" s="2286"/>
      <c r="AO291" s="2286"/>
      <c r="AP291" s="2286"/>
      <c r="AQ291" s="2286"/>
      <c r="AR291" s="2285"/>
      <c r="AS291" s="2285"/>
      <c r="AT291" s="2287"/>
      <c r="AU291" s="2287"/>
      <c r="AV291" s="2287"/>
      <c r="AW291" s="2287"/>
      <c r="AX291" s="2288"/>
      <c r="AY291" s="2270"/>
      <c r="AZ291" s="2270"/>
      <c r="BA291" s="2270"/>
      <c r="BB291" s="2270"/>
      <c r="BC291" s="2270"/>
      <c r="BD291" s="2270"/>
      <c r="BE291" s="2270"/>
      <c r="BF291" s="2270"/>
      <c r="BG291" s="2270"/>
      <c r="BH291" s="2270"/>
      <c r="BI291" s="2279"/>
      <c r="BJ291" s="2270"/>
      <c r="BK291" s="2270"/>
      <c r="BL291" s="2270"/>
      <c r="BM291" s="2270"/>
      <c r="BN291" s="2270"/>
      <c r="BO291" s="2270"/>
      <c r="BP291" s="2270"/>
      <c r="BQ291" s="2270"/>
      <c r="BR291" s="2270"/>
    </row>
    <row r="292" spans="1:70" ht="12.75" customHeight="1">
      <c r="A292" s="2270"/>
      <c r="B292" s="2270"/>
      <c r="C292" s="2270"/>
      <c r="D292" s="2270"/>
      <c r="E292" s="2279"/>
      <c r="F292" s="2279"/>
      <c r="G292" s="2280"/>
      <c r="H292" s="2279"/>
      <c r="I292" s="2279"/>
      <c r="J292" s="2280"/>
      <c r="K292" s="2279"/>
      <c r="L292" s="2279"/>
      <c r="M292" s="2280"/>
      <c r="N292" s="2280"/>
      <c r="O292" s="2280"/>
      <c r="P292" s="2280"/>
      <c r="Q292" s="2279"/>
      <c r="R292" s="2279"/>
      <c r="S292" s="2279"/>
      <c r="T292" s="2281"/>
      <c r="U292" s="2270"/>
      <c r="V292" s="2279"/>
      <c r="W292" s="2279"/>
      <c r="X292" s="2282"/>
      <c r="Y292" s="2283"/>
      <c r="Z292" s="2270"/>
      <c r="AA292" s="2270"/>
      <c r="AB292" s="2270"/>
      <c r="AC292" s="2270"/>
      <c r="AD292" s="2279"/>
      <c r="AE292" s="2279"/>
      <c r="AF292" s="2279"/>
      <c r="AG292" s="2279"/>
      <c r="AH292" s="2270"/>
      <c r="AI292" s="2270"/>
      <c r="AJ292" s="2285"/>
      <c r="AK292" s="2285"/>
      <c r="AL292" s="2286"/>
      <c r="AM292" s="2286"/>
      <c r="AN292" s="2286"/>
      <c r="AO292" s="2286"/>
      <c r="AP292" s="2286"/>
      <c r="AQ292" s="2286"/>
      <c r="AR292" s="2285"/>
      <c r="AS292" s="2285"/>
      <c r="AT292" s="2287"/>
      <c r="AU292" s="2287"/>
      <c r="AV292" s="2287"/>
      <c r="AW292" s="2287"/>
      <c r="AX292" s="2288"/>
      <c r="AY292" s="2270"/>
      <c r="AZ292" s="2270"/>
      <c r="BA292" s="2270"/>
      <c r="BB292" s="2270"/>
      <c r="BC292" s="2270"/>
      <c r="BD292" s="2270"/>
      <c r="BE292" s="2270"/>
      <c r="BF292" s="2270"/>
      <c r="BG292" s="2270"/>
      <c r="BH292" s="2270"/>
      <c r="BI292" s="2279"/>
      <c r="BJ292" s="2270"/>
      <c r="BK292" s="2270"/>
      <c r="BL292" s="2270"/>
      <c r="BM292" s="2270"/>
      <c r="BN292" s="2270"/>
      <c r="BO292" s="2270"/>
      <c r="BP292" s="2270"/>
      <c r="BQ292" s="2270"/>
      <c r="BR292" s="2270"/>
    </row>
    <row r="293" spans="1:70" ht="12.75" customHeight="1">
      <c r="A293" s="2270"/>
      <c r="B293" s="2270"/>
      <c r="C293" s="2270"/>
      <c r="D293" s="2270"/>
      <c r="E293" s="2279"/>
      <c r="F293" s="2279"/>
      <c r="G293" s="2280"/>
      <c r="H293" s="2279"/>
      <c r="I293" s="2279"/>
      <c r="J293" s="2280"/>
      <c r="K293" s="2279"/>
      <c r="L293" s="2279"/>
      <c r="M293" s="2280"/>
      <c r="N293" s="2280"/>
      <c r="O293" s="2280"/>
      <c r="P293" s="2280"/>
      <c r="Q293" s="2279"/>
      <c r="R293" s="2279"/>
      <c r="S293" s="2279"/>
      <c r="T293" s="2281"/>
      <c r="U293" s="2270"/>
      <c r="V293" s="2279"/>
      <c r="W293" s="2279"/>
      <c r="X293" s="2282"/>
      <c r="Y293" s="2283"/>
      <c r="Z293" s="2270"/>
      <c r="AA293" s="2270"/>
      <c r="AB293" s="2270"/>
      <c r="AC293" s="2270"/>
      <c r="AD293" s="2279"/>
      <c r="AE293" s="2279"/>
      <c r="AF293" s="2279"/>
      <c r="AG293" s="2279"/>
      <c r="AH293" s="2270"/>
      <c r="AI293" s="2270"/>
      <c r="AJ293" s="2285"/>
      <c r="AK293" s="2285"/>
      <c r="AL293" s="2286"/>
      <c r="AM293" s="2286"/>
      <c r="AN293" s="2286"/>
      <c r="AO293" s="2286"/>
      <c r="AP293" s="2286"/>
      <c r="AQ293" s="2286"/>
      <c r="AR293" s="2285"/>
      <c r="AS293" s="2285"/>
      <c r="AT293" s="2287"/>
      <c r="AU293" s="2287"/>
      <c r="AV293" s="2287"/>
      <c r="AW293" s="2287"/>
      <c r="AX293" s="2288"/>
      <c r="AY293" s="2270"/>
      <c r="AZ293" s="2270"/>
      <c r="BA293" s="2270"/>
      <c r="BB293" s="2270"/>
      <c r="BC293" s="2270"/>
      <c r="BD293" s="2270"/>
      <c r="BE293" s="2270"/>
      <c r="BF293" s="2270"/>
      <c r="BG293" s="2270"/>
      <c r="BH293" s="2270"/>
      <c r="BI293" s="2279"/>
      <c r="BJ293" s="2270"/>
      <c r="BK293" s="2270"/>
      <c r="BL293" s="2270"/>
      <c r="BM293" s="2270"/>
      <c r="BN293" s="2270"/>
      <c r="BO293" s="2270"/>
      <c r="BP293" s="2270"/>
      <c r="BQ293" s="2270"/>
      <c r="BR293" s="2270"/>
    </row>
    <row r="294" spans="1:70" ht="12.75" customHeight="1">
      <c r="A294" s="2270"/>
      <c r="B294" s="2270"/>
      <c r="C294" s="2270"/>
      <c r="D294" s="2270"/>
      <c r="E294" s="2279"/>
      <c r="F294" s="2279"/>
      <c r="G294" s="2280"/>
      <c r="H294" s="2279"/>
      <c r="I294" s="2279"/>
      <c r="J294" s="2280"/>
      <c r="K294" s="2279"/>
      <c r="L294" s="2279"/>
      <c r="M294" s="2280"/>
      <c r="N294" s="2280"/>
      <c r="O294" s="2280"/>
      <c r="P294" s="2280"/>
      <c r="Q294" s="2279"/>
      <c r="R294" s="2279"/>
      <c r="S294" s="2279"/>
      <c r="T294" s="2281"/>
      <c r="U294" s="2270"/>
      <c r="V294" s="2279"/>
      <c r="W294" s="2279"/>
      <c r="X294" s="2282"/>
      <c r="Y294" s="2283"/>
      <c r="Z294" s="2270"/>
      <c r="AA294" s="2270"/>
      <c r="AB294" s="2270"/>
      <c r="AC294" s="2270"/>
      <c r="AD294" s="2279"/>
      <c r="AE294" s="2279"/>
      <c r="AF294" s="2279"/>
      <c r="AG294" s="2279"/>
      <c r="AH294" s="2270"/>
      <c r="AI294" s="2270"/>
      <c r="AJ294" s="2285"/>
      <c r="AK294" s="2285"/>
      <c r="AL294" s="2286"/>
      <c r="AM294" s="2286"/>
      <c r="AN294" s="2286"/>
      <c r="AO294" s="2286"/>
      <c r="AP294" s="2286"/>
      <c r="AQ294" s="2286"/>
      <c r="AR294" s="2285"/>
      <c r="AS294" s="2285"/>
      <c r="AT294" s="2287"/>
      <c r="AU294" s="2287"/>
      <c r="AV294" s="2287"/>
      <c r="AW294" s="2287"/>
      <c r="AX294" s="2288"/>
      <c r="AY294" s="2270"/>
      <c r="AZ294" s="2270"/>
      <c r="BA294" s="2270"/>
      <c r="BB294" s="2270"/>
      <c r="BC294" s="2270"/>
      <c r="BD294" s="2270"/>
      <c r="BE294" s="2270"/>
      <c r="BF294" s="2270"/>
      <c r="BG294" s="2270"/>
      <c r="BH294" s="2270"/>
      <c r="BI294" s="2279"/>
      <c r="BJ294" s="2270"/>
      <c r="BK294" s="2270"/>
      <c r="BL294" s="2270"/>
      <c r="BM294" s="2270"/>
      <c r="BN294" s="2270"/>
      <c r="BO294" s="2270"/>
      <c r="BP294" s="2270"/>
      <c r="BQ294" s="2270"/>
      <c r="BR294" s="2270"/>
    </row>
    <row r="295" spans="1:70" ht="12.75" customHeight="1">
      <c r="A295" s="2270"/>
      <c r="B295" s="2270"/>
      <c r="C295" s="2270"/>
      <c r="D295" s="2270"/>
      <c r="E295" s="2279"/>
      <c r="F295" s="2279"/>
      <c r="G295" s="2280"/>
      <c r="H295" s="2279"/>
      <c r="I295" s="2279"/>
      <c r="J295" s="2280"/>
      <c r="K295" s="2279"/>
      <c r="L295" s="2279"/>
      <c r="M295" s="2280"/>
      <c r="N295" s="2280"/>
      <c r="O295" s="2280"/>
      <c r="P295" s="2280"/>
      <c r="Q295" s="2279"/>
      <c r="R295" s="2279"/>
      <c r="S295" s="2279"/>
      <c r="T295" s="2281"/>
      <c r="U295" s="2270"/>
      <c r="V295" s="2279"/>
      <c r="W295" s="2279"/>
      <c r="X295" s="2282"/>
      <c r="Y295" s="2283"/>
      <c r="Z295" s="2270"/>
      <c r="AA295" s="2270"/>
      <c r="AB295" s="2270"/>
      <c r="AC295" s="2270"/>
      <c r="AD295" s="2279"/>
      <c r="AE295" s="2279"/>
      <c r="AF295" s="2279"/>
      <c r="AG295" s="2279"/>
      <c r="AH295" s="2270"/>
      <c r="AI295" s="2270"/>
      <c r="AJ295" s="2285"/>
      <c r="AK295" s="2285"/>
      <c r="AL295" s="2286"/>
      <c r="AM295" s="2286"/>
      <c r="AN295" s="2286"/>
      <c r="AO295" s="2286"/>
      <c r="AP295" s="2286"/>
      <c r="AQ295" s="2286"/>
      <c r="AR295" s="2285"/>
      <c r="AS295" s="2285"/>
      <c r="AT295" s="2287"/>
      <c r="AU295" s="2287"/>
      <c r="AV295" s="2287"/>
      <c r="AW295" s="2287"/>
      <c r="AX295" s="2288"/>
      <c r="AY295" s="2270"/>
      <c r="AZ295" s="2270"/>
      <c r="BA295" s="2270"/>
      <c r="BB295" s="2270"/>
      <c r="BC295" s="2270"/>
      <c r="BD295" s="2270"/>
      <c r="BE295" s="2270"/>
      <c r="BF295" s="2270"/>
      <c r="BG295" s="2270"/>
      <c r="BH295" s="2270"/>
      <c r="BI295" s="2279"/>
      <c r="BJ295" s="2270"/>
      <c r="BK295" s="2270"/>
      <c r="BL295" s="2270"/>
      <c r="BM295" s="2270"/>
      <c r="BN295" s="2270"/>
      <c r="BO295" s="2270"/>
      <c r="BP295" s="2270"/>
      <c r="BQ295" s="2270"/>
      <c r="BR295" s="2270"/>
    </row>
    <row r="296" spans="1:70" ht="12.75" customHeight="1">
      <c r="A296" s="2270"/>
      <c r="B296" s="2270"/>
      <c r="C296" s="2270"/>
      <c r="D296" s="2270"/>
      <c r="E296" s="2279"/>
      <c r="F296" s="2279"/>
      <c r="G296" s="2280"/>
      <c r="H296" s="2279"/>
      <c r="I296" s="2279"/>
      <c r="J296" s="2280"/>
      <c r="K296" s="2279"/>
      <c r="L296" s="2279"/>
      <c r="M296" s="2280"/>
      <c r="N296" s="2280"/>
      <c r="O296" s="2280"/>
      <c r="P296" s="2280"/>
      <c r="Q296" s="2279"/>
      <c r="R296" s="2279"/>
      <c r="S296" s="2279"/>
      <c r="T296" s="2281"/>
      <c r="U296" s="2270"/>
      <c r="V296" s="2279"/>
      <c r="W296" s="2279"/>
      <c r="X296" s="2282"/>
      <c r="Y296" s="2283"/>
      <c r="Z296" s="2270"/>
      <c r="AA296" s="2270"/>
      <c r="AB296" s="2270"/>
      <c r="AC296" s="2270"/>
      <c r="AD296" s="2279"/>
      <c r="AE296" s="2279"/>
      <c r="AF296" s="2279"/>
      <c r="AG296" s="2279"/>
      <c r="AH296" s="2270"/>
      <c r="AI296" s="2270"/>
      <c r="AJ296" s="2285"/>
      <c r="AK296" s="2285"/>
      <c r="AL296" s="2286"/>
      <c r="AM296" s="2286"/>
      <c r="AN296" s="2286"/>
      <c r="AO296" s="2286"/>
      <c r="AP296" s="2286"/>
      <c r="AQ296" s="2286"/>
      <c r="AR296" s="2285"/>
      <c r="AS296" s="2285"/>
      <c r="AT296" s="2287"/>
      <c r="AU296" s="2287"/>
      <c r="AV296" s="2287"/>
      <c r="AW296" s="2287"/>
      <c r="AX296" s="2288"/>
      <c r="AY296" s="2270"/>
      <c r="AZ296" s="2270"/>
      <c r="BA296" s="2270"/>
      <c r="BB296" s="2270"/>
      <c r="BC296" s="2270"/>
      <c r="BD296" s="2270"/>
      <c r="BE296" s="2270"/>
      <c r="BF296" s="2270"/>
      <c r="BG296" s="2270"/>
      <c r="BH296" s="2270"/>
      <c r="BI296" s="2279"/>
      <c r="BJ296" s="2270"/>
      <c r="BK296" s="2270"/>
      <c r="BL296" s="2270"/>
      <c r="BM296" s="2270"/>
      <c r="BN296" s="2270"/>
      <c r="BO296" s="2270"/>
      <c r="BP296" s="2270"/>
      <c r="BQ296" s="2270"/>
      <c r="BR296" s="2270"/>
    </row>
    <row r="297" spans="1:70" ht="12.75" customHeight="1">
      <c r="A297" s="2270"/>
      <c r="B297" s="2270"/>
      <c r="C297" s="2270"/>
      <c r="D297" s="2270"/>
      <c r="E297" s="2279"/>
      <c r="F297" s="2279"/>
      <c r="G297" s="2280"/>
      <c r="H297" s="2279"/>
      <c r="I297" s="2279"/>
      <c r="J297" s="2280"/>
      <c r="K297" s="2279"/>
      <c r="L297" s="2279"/>
      <c r="M297" s="2280"/>
      <c r="N297" s="2280"/>
      <c r="O297" s="2280"/>
      <c r="P297" s="2280"/>
      <c r="Q297" s="2279"/>
      <c r="R297" s="2279"/>
      <c r="S297" s="2279"/>
      <c r="T297" s="2281"/>
      <c r="U297" s="2270"/>
      <c r="V297" s="2279"/>
      <c r="W297" s="2279"/>
      <c r="X297" s="2282"/>
      <c r="Y297" s="2283"/>
      <c r="Z297" s="2270"/>
      <c r="AA297" s="2270"/>
      <c r="AB297" s="2270"/>
      <c r="AC297" s="2270"/>
      <c r="AD297" s="2279"/>
      <c r="AE297" s="2279"/>
      <c r="AF297" s="2279"/>
      <c r="AG297" s="2279"/>
      <c r="AH297" s="2270"/>
      <c r="AI297" s="2270"/>
      <c r="AJ297" s="2285"/>
      <c r="AK297" s="2285"/>
      <c r="AL297" s="2286"/>
      <c r="AM297" s="2286"/>
      <c r="AN297" s="2286"/>
      <c r="AO297" s="2286"/>
      <c r="AP297" s="2286"/>
      <c r="AQ297" s="2286"/>
      <c r="AR297" s="2285"/>
      <c r="AS297" s="2285"/>
      <c r="AT297" s="2287"/>
      <c r="AU297" s="2287"/>
      <c r="AV297" s="2287"/>
      <c r="AW297" s="2287"/>
      <c r="AX297" s="2288"/>
      <c r="AY297" s="2270"/>
      <c r="AZ297" s="2270"/>
      <c r="BA297" s="2270"/>
      <c r="BB297" s="2270"/>
      <c r="BC297" s="2270"/>
      <c r="BD297" s="2270"/>
      <c r="BE297" s="2270"/>
      <c r="BF297" s="2270"/>
      <c r="BG297" s="2270"/>
      <c r="BH297" s="2270"/>
      <c r="BI297" s="2279"/>
      <c r="BJ297" s="2270"/>
      <c r="BK297" s="2270"/>
      <c r="BL297" s="2270"/>
      <c r="BM297" s="2270"/>
      <c r="BN297" s="2270"/>
      <c r="BO297" s="2270"/>
      <c r="BP297" s="2270"/>
      <c r="BQ297" s="2270"/>
      <c r="BR297" s="2270"/>
    </row>
    <row r="298" spans="1:70" ht="12.75" customHeight="1">
      <c r="A298" s="2270"/>
      <c r="B298" s="2270"/>
      <c r="C298" s="2270"/>
      <c r="D298" s="2270"/>
      <c r="E298" s="2279"/>
      <c r="F298" s="2279"/>
      <c r="G298" s="2280"/>
      <c r="H298" s="2279"/>
      <c r="I298" s="2279"/>
      <c r="J298" s="2280"/>
      <c r="K298" s="2279"/>
      <c r="L298" s="2279"/>
      <c r="M298" s="2280"/>
      <c r="N298" s="2280"/>
      <c r="O298" s="2280"/>
      <c r="P298" s="2280"/>
      <c r="Q298" s="2279"/>
      <c r="R298" s="2279"/>
      <c r="S298" s="2279"/>
      <c r="T298" s="2281"/>
      <c r="U298" s="2270"/>
      <c r="V298" s="2279"/>
      <c r="W298" s="2279"/>
      <c r="X298" s="2282"/>
      <c r="Y298" s="2283"/>
      <c r="Z298" s="2270"/>
      <c r="AA298" s="2270"/>
      <c r="AB298" s="2270"/>
      <c r="AC298" s="2270"/>
      <c r="AD298" s="2279"/>
      <c r="AE298" s="2279"/>
      <c r="AF298" s="2279"/>
      <c r="AG298" s="2279"/>
      <c r="AH298" s="2270"/>
      <c r="AI298" s="2270"/>
      <c r="AJ298" s="2285"/>
      <c r="AK298" s="2285"/>
      <c r="AL298" s="2286"/>
      <c r="AM298" s="2286"/>
      <c r="AN298" s="2286"/>
      <c r="AO298" s="2286"/>
      <c r="AP298" s="2286"/>
      <c r="AQ298" s="2286"/>
      <c r="AR298" s="2285"/>
      <c r="AS298" s="2285"/>
      <c r="AT298" s="2287"/>
      <c r="AU298" s="2287"/>
      <c r="AV298" s="2287"/>
      <c r="AW298" s="2287"/>
      <c r="AX298" s="2288"/>
      <c r="AY298" s="2270"/>
      <c r="AZ298" s="2270"/>
      <c r="BA298" s="2270"/>
      <c r="BB298" s="2270"/>
      <c r="BC298" s="2270"/>
      <c r="BD298" s="2270"/>
      <c r="BE298" s="2270"/>
      <c r="BF298" s="2270"/>
      <c r="BG298" s="2270"/>
      <c r="BH298" s="2270"/>
      <c r="BI298" s="2279"/>
      <c r="BJ298" s="2270"/>
      <c r="BK298" s="2270"/>
      <c r="BL298" s="2270"/>
      <c r="BM298" s="2270"/>
      <c r="BN298" s="2270"/>
      <c r="BO298" s="2270"/>
      <c r="BP298" s="2270"/>
      <c r="BQ298" s="2270"/>
      <c r="BR298" s="2270"/>
    </row>
    <row r="299" spans="1:70" ht="15.75" customHeight="1">
      <c r="A299" s="2289"/>
      <c r="B299" s="2289"/>
      <c r="C299" s="2289"/>
      <c r="D299" s="2289"/>
      <c r="E299" s="2289"/>
      <c r="F299" s="2289"/>
      <c r="G299" s="2290"/>
      <c r="H299" s="2289"/>
      <c r="I299" s="2289"/>
      <c r="J299" s="2290"/>
      <c r="K299" s="2289"/>
      <c r="L299" s="2289"/>
      <c r="M299" s="2290"/>
      <c r="N299" s="2290"/>
      <c r="O299" s="2290"/>
      <c r="P299" s="2290"/>
      <c r="Q299" s="2289"/>
      <c r="R299" s="2289"/>
      <c r="S299" s="2289"/>
      <c r="T299" s="2291"/>
      <c r="U299" s="2289"/>
      <c r="V299" s="2289"/>
      <c r="W299" s="2289"/>
      <c r="X299" s="2292"/>
      <c r="Y299" s="2292"/>
      <c r="Z299" s="2289"/>
      <c r="AA299" s="2289"/>
      <c r="AB299" s="2289"/>
      <c r="AC299" s="2289"/>
      <c r="AD299" s="2293"/>
      <c r="AE299" s="2293"/>
      <c r="AF299" s="2293"/>
      <c r="AG299" s="2293"/>
      <c r="AH299" s="2289"/>
      <c r="AI299" s="2289"/>
      <c r="AJ299" s="2294"/>
      <c r="AK299" s="2294"/>
      <c r="AL299" s="2289"/>
      <c r="AM299" s="2289"/>
      <c r="AN299" s="2289"/>
      <c r="AO299" s="2289"/>
      <c r="AP299" s="2289"/>
      <c r="AQ299" s="2289"/>
      <c r="AR299" s="2294"/>
      <c r="AS299" s="2294"/>
      <c r="AT299" s="2295"/>
      <c r="AU299" s="2295"/>
      <c r="AV299" s="2295"/>
      <c r="AW299" s="2295"/>
      <c r="AX299" s="2296"/>
      <c r="AY299" s="2289"/>
      <c r="AZ299" s="2289"/>
      <c r="BA299" s="2289"/>
      <c r="BB299" s="2289"/>
      <c r="BC299" s="2289"/>
      <c r="BD299" s="2289"/>
      <c r="BE299" s="2289"/>
      <c r="BF299" s="2289"/>
      <c r="BG299" s="2289"/>
      <c r="BH299" s="2289"/>
      <c r="BI299" s="2289"/>
      <c r="BJ299" s="2289"/>
      <c r="BK299" s="2289"/>
      <c r="BL299" s="2289"/>
      <c r="BM299" s="2289"/>
      <c r="BN299" s="2289"/>
      <c r="BO299" s="2289"/>
      <c r="BP299" s="2289"/>
      <c r="BQ299" s="2289"/>
      <c r="BR299" s="2289"/>
    </row>
    <row r="300" spans="1:70" ht="15.75" customHeight="1">
      <c r="A300" s="2289"/>
      <c r="B300" s="2289"/>
      <c r="C300" s="2289"/>
      <c r="D300" s="2289"/>
      <c r="E300" s="2289"/>
      <c r="F300" s="2289"/>
      <c r="G300" s="2290"/>
      <c r="H300" s="2289"/>
      <c r="I300" s="2289"/>
      <c r="J300" s="2290"/>
      <c r="K300" s="2289"/>
      <c r="L300" s="2289"/>
      <c r="M300" s="2290"/>
      <c r="N300" s="2290"/>
      <c r="O300" s="2290"/>
      <c r="P300" s="2290"/>
      <c r="Q300" s="2289"/>
      <c r="R300" s="2289"/>
      <c r="S300" s="2289"/>
      <c r="T300" s="2291"/>
      <c r="U300" s="2289"/>
      <c r="V300" s="2289"/>
      <c r="W300" s="2289"/>
      <c r="X300" s="2292"/>
      <c r="Y300" s="2292"/>
      <c r="Z300" s="2289"/>
      <c r="AA300" s="2289"/>
      <c r="AB300" s="2289"/>
      <c r="AC300" s="2289"/>
      <c r="AD300" s="2293"/>
      <c r="AE300" s="2293"/>
      <c r="AF300" s="2293"/>
      <c r="AG300" s="2293"/>
      <c r="AH300" s="2289"/>
      <c r="AI300" s="2289"/>
      <c r="AJ300" s="2294"/>
      <c r="AK300" s="2294"/>
      <c r="AL300" s="2289"/>
      <c r="AM300" s="2289"/>
      <c r="AN300" s="2289"/>
      <c r="AO300" s="2289"/>
      <c r="AP300" s="2289"/>
      <c r="AQ300" s="2289"/>
      <c r="AR300" s="2294"/>
      <c r="AS300" s="2294"/>
      <c r="AT300" s="2295"/>
      <c r="AU300" s="2295"/>
      <c r="AV300" s="2295"/>
      <c r="AW300" s="2295"/>
      <c r="AX300" s="2296"/>
      <c r="AY300" s="2289"/>
      <c r="AZ300" s="2289"/>
      <c r="BA300" s="2289"/>
      <c r="BB300" s="2289"/>
      <c r="BC300" s="2289"/>
      <c r="BD300" s="2289"/>
      <c r="BE300" s="2289"/>
      <c r="BF300" s="2289"/>
      <c r="BG300" s="2289"/>
      <c r="BH300" s="2289"/>
      <c r="BI300" s="2289"/>
      <c r="BJ300" s="2289"/>
      <c r="BK300" s="2289"/>
      <c r="BL300" s="2289"/>
      <c r="BM300" s="2289"/>
      <c r="BN300" s="2289"/>
      <c r="BO300" s="2289"/>
      <c r="BP300" s="2289"/>
      <c r="BQ300" s="2289"/>
      <c r="BR300" s="2289"/>
    </row>
    <row r="301" spans="1:70" ht="15.75" customHeight="1">
      <c r="A301" s="2289"/>
      <c r="B301" s="2289"/>
      <c r="C301" s="2289"/>
      <c r="D301" s="2289"/>
      <c r="E301" s="2289"/>
      <c r="F301" s="2289"/>
      <c r="G301" s="2290"/>
      <c r="H301" s="2289"/>
      <c r="I301" s="2289"/>
      <c r="J301" s="2290"/>
      <c r="K301" s="2289"/>
      <c r="L301" s="2289"/>
      <c r="M301" s="2290"/>
      <c r="N301" s="2290"/>
      <c r="O301" s="2290"/>
      <c r="P301" s="2290"/>
      <c r="Q301" s="2289"/>
      <c r="R301" s="2289"/>
      <c r="S301" s="2289"/>
      <c r="T301" s="2291"/>
      <c r="U301" s="2289"/>
      <c r="V301" s="2289"/>
      <c r="W301" s="2289"/>
      <c r="X301" s="2292"/>
      <c r="Y301" s="2292"/>
      <c r="Z301" s="2289"/>
      <c r="AA301" s="2289"/>
      <c r="AB301" s="2289"/>
      <c r="AC301" s="2289"/>
      <c r="AD301" s="2293"/>
      <c r="AE301" s="2293"/>
      <c r="AF301" s="2293"/>
      <c r="AG301" s="2293"/>
      <c r="AH301" s="2289"/>
      <c r="AI301" s="2289"/>
      <c r="AJ301" s="2294"/>
      <c r="AK301" s="2294"/>
      <c r="AL301" s="2289"/>
      <c r="AM301" s="2289"/>
      <c r="AN301" s="2289"/>
      <c r="AO301" s="2289"/>
      <c r="AP301" s="2289"/>
      <c r="AQ301" s="2289"/>
      <c r="AR301" s="2294"/>
      <c r="AS301" s="2294"/>
      <c r="AT301" s="2295"/>
      <c r="AU301" s="2295"/>
      <c r="AV301" s="2295"/>
      <c r="AW301" s="2295"/>
      <c r="AX301" s="2296"/>
      <c r="AY301" s="2289"/>
      <c r="AZ301" s="2289"/>
      <c r="BA301" s="2289"/>
      <c r="BB301" s="2289"/>
      <c r="BC301" s="2289"/>
      <c r="BD301" s="2289"/>
      <c r="BE301" s="2289"/>
      <c r="BF301" s="2289"/>
      <c r="BG301" s="2289"/>
      <c r="BH301" s="2289"/>
      <c r="BI301" s="2289"/>
      <c r="BJ301" s="2289"/>
      <c r="BK301" s="2289"/>
      <c r="BL301" s="2289"/>
      <c r="BM301" s="2289"/>
      <c r="BN301" s="2289"/>
      <c r="BO301" s="2289"/>
      <c r="BP301" s="2289"/>
      <c r="BQ301" s="2289"/>
      <c r="BR301" s="2289"/>
    </row>
    <row r="302" spans="1:70" ht="15.75" customHeight="1">
      <c r="A302" s="2289"/>
      <c r="B302" s="2289"/>
      <c r="C302" s="2289"/>
      <c r="D302" s="2289"/>
      <c r="E302" s="2289"/>
      <c r="F302" s="2289"/>
      <c r="G302" s="2290"/>
      <c r="H302" s="2289"/>
      <c r="I302" s="2289"/>
      <c r="J302" s="2290"/>
      <c r="K302" s="2289"/>
      <c r="L302" s="2289"/>
      <c r="M302" s="2290"/>
      <c r="N302" s="2290"/>
      <c r="O302" s="2290"/>
      <c r="P302" s="2290"/>
      <c r="Q302" s="2289"/>
      <c r="R302" s="2289"/>
      <c r="S302" s="2289"/>
      <c r="T302" s="2291"/>
      <c r="U302" s="2289"/>
      <c r="V302" s="2289"/>
      <c r="W302" s="2289"/>
      <c r="X302" s="2292"/>
      <c r="Y302" s="2292"/>
      <c r="Z302" s="2289"/>
      <c r="AA302" s="2289"/>
      <c r="AB302" s="2289"/>
      <c r="AC302" s="2289"/>
      <c r="AD302" s="2293"/>
      <c r="AE302" s="2293"/>
      <c r="AF302" s="2293"/>
      <c r="AG302" s="2293"/>
      <c r="AH302" s="2289"/>
      <c r="AI302" s="2289"/>
      <c r="AJ302" s="2294"/>
      <c r="AK302" s="2294"/>
      <c r="AL302" s="2289"/>
      <c r="AM302" s="2289"/>
      <c r="AN302" s="2289"/>
      <c r="AO302" s="2289"/>
      <c r="AP302" s="2289"/>
      <c r="AQ302" s="2289"/>
      <c r="AR302" s="2294"/>
      <c r="AS302" s="2294"/>
      <c r="AT302" s="2295"/>
      <c r="AU302" s="2295"/>
      <c r="AV302" s="2295"/>
      <c r="AW302" s="2295"/>
      <c r="AX302" s="2296"/>
      <c r="AY302" s="2289"/>
      <c r="AZ302" s="2289"/>
      <c r="BA302" s="2289"/>
      <c r="BB302" s="2289"/>
      <c r="BC302" s="2289"/>
      <c r="BD302" s="2289"/>
      <c r="BE302" s="2289"/>
      <c r="BF302" s="2289"/>
      <c r="BG302" s="2289"/>
      <c r="BH302" s="2289"/>
      <c r="BI302" s="2289"/>
      <c r="BJ302" s="2289"/>
      <c r="BK302" s="2289"/>
      <c r="BL302" s="2289"/>
      <c r="BM302" s="2289"/>
      <c r="BN302" s="2289"/>
      <c r="BO302" s="2289"/>
      <c r="BP302" s="2289"/>
      <c r="BQ302" s="2289"/>
      <c r="BR302" s="2289"/>
    </row>
    <row r="303" spans="1:70" ht="15.75" customHeight="1">
      <c r="A303" s="2289"/>
      <c r="B303" s="2289"/>
      <c r="C303" s="2289"/>
      <c r="D303" s="2289"/>
      <c r="E303" s="2289"/>
      <c r="F303" s="2289"/>
      <c r="G303" s="2290"/>
      <c r="H303" s="2289"/>
      <c r="I303" s="2289"/>
      <c r="J303" s="2290"/>
      <c r="K303" s="2289"/>
      <c r="L303" s="2289"/>
      <c r="M303" s="2290"/>
      <c r="N303" s="2290"/>
      <c r="O303" s="2290"/>
      <c r="P303" s="2290"/>
      <c r="Q303" s="2289"/>
      <c r="R303" s="2289"/>
      <c r="S303" s="2289"/>
      <c r="T303" s="2291"/>
      <c r="U303" s="2289"/>
      <c r="V303" s="2289"/>
      <c r="W303" s="2289"/>
      <c r="X303" s="2292"/>
      <c r="Y303" s="2292"/>
      <c r="Z303" s="2289"/>
      <c r="AA303" s="2289"/>
      <c r="AB303" s="2289"/>
      <c r="AC303" s="2289"/>
      <c r="AD303" s="2293"/>
      <c r="AE303" s="2293"/>
      <c r="AF303" s="2293"/>
      <c r="AG303" s="2293"/>
      <c r="AH303" s="2289"/>
      <c r="AI303" s="2289"/>
      <c r="AJ303" s="2294"/>
      <c r="AK303" s="2294"/>
      <c r="AL303" s="2289"/>
      <c r="AM303" s="2289"/>
      <c r="AN303" s="2289"/>
      <c r="AO303" s="2289"/>
      <c r="AP303" s="2289"/>
      <c r="AQ303" s="2289"/>
      <c r="AR303" s="2294"/>
      <c r="AS303" s="2294"/>
      <c r="AT303" s="2295"/>
      <c r="AU303" s="2295"/>
      <c r="AV303" s="2295"/>
      <c r="AW303" s="2295"/>
      <c r="AX303" s="2296"/>
      <c r="AY303" s="2289"/>
      <c r="AZ303" s="2289"/>
      <c r="BA303" s="2289"/>
      <c r="BB303" s="2289"/>
      <c r="BC303" s="2289"/>
      <c r="BD303" s="2289"/>
      <c r="BE303" s="2289"/>
      <c r="BF303" s="2289"/>
      <c r="BG303" s="2289"/>
      <c r="BH303" s="2289"/>
      <c r="BI303" s="2289"/>
      <c r="BJ303" s="2289"/>
      <c r="BK303" s="2289"/>
      <c r="BL303" s="2289"/>
      <c r="BM303" s="2289"/>
      <c r="BN303" s="2289"/>
      <c r="BO303" s="2289"/>
      <c r="BP303" s="2289"/>
      <c r="BQ303" s="2289"/>
      <c r="BR303" s="2289"/>
    </row>
    <row r="304" spans="1:70" ht="15.75" customHeight="1">
      <c r="A304" s="2289"/>
      <c r="B304" s="2289"/>
      <c r="C304" s="2289"/>
      <c r="D304" s="2289"/>
      <c r="E304" s="2289"/>
      <c r="F304" s="2289"/>
      <c r="G304" s="2290"/>
      <c r="H304" s="2289"/>
      <c r="I304" s="2289"/>
      <c r="J304" s="2290"/>
      <c r="K304" s="2289"/>
      <c r="L304" s="2289"/>
      <c r="M304" s="2290"/>
      <c r="N304" s="2290"/>
      <c r="O304" s="2290"/>
      <c r="P304" s="2290"/>
      <c r="Q304" s="2289"/>
      <c r="R304" s="2289"/>
      <c r="S304" s="2289"/>
      <c r="T304" s="2291"/>
      <c r="U304" s="2289"/>
      <c r="V304" s="2289"/>
      <c r="W304" s="2289"/>
      <c r="X304" s="2292"/>
      <c r="Y304" s="2292"/>
      <c r="Z304" s="2289"/>
      <c r="AA304" s="2289"/>
      <c r="AB304" s="2289"/>
      <c r="AC304" s="2289"/>
      <c r="AD304" s="2293"/>
      <c r="AE304" s="2293"/>
      <c r="AF304" s="2293"/>
      <c r="AG304" s="2293"/>
      <c r="AH304" s="2289"/>
      <c r="AI304" s="2289"/>
      <c r="AJ304" s="2294"/>
      <c r="AK304" s="2294"/>
      <c r="AL304" s="2289"/>
      <c r="AM304" s="2289"/>
      <c r="AN304" s="2289"/>
      <c r="AO304" s="2289"/>
      <c r="AP304" s="2289"/>
      <c r="AQ304" s="2289"/>
      <c r="AR304" s="2294"/>
      <c r="AS304" s="2294"/>
      <c r="AT304" s="2295"/>
      <c r="AU304" s="2295"/>
      <c r="AV304" s="2295"/>
      <c r="AW304" s="2295"/>
      <c r="AX304" s="2296"/>
      <c r="AY304" s="2289"/>
      <c r="AZ304" s="2289"/>
      <c r="BA304" s="2289"/>
      <c r="BB304" s="2289"/>
      <c r="BC304" s="2289"/>
      <c r="BD304" s="2289"/>
      <c r="BE304" s="2289"/>
      <c r="BF304" s="2289"/>
      <c r="BG304" s="2289"/>
      <c r="BH304" s="2289"/>
      <c r="BI304" s="2289"/>
      <c r="BJ304" s="2289"/>
      <c r="BK304" s="2289"/>
      <c r="BL304" s="2289"/>
      <c r="BM304" s="2289"/>
      <c r="BN304" s="2289"/>
      <c r="BO304" s="2289"/>
      <c r="BP304" s="2289"/>
      <c r="BQ304" s="2289"/>
      <c r="BR304" s="2289"/>
    </row>
    <row r="305" spans="1:70" ht="15.75" customHeight="1">
      <c r="A305" s="2289"/>
      <c r="B305" s="2289"/>
      <c r="C305" s="2289"/>
      <c r="D305" s="2289"/>
      <c r="E305" s="2289"/>
      <c r="F305" s="2289"/>
      <c r="G305" s="2290"/>
      <c r="H305" s="2289"/>
      <c r="I305" s="2289"/>
      <c r="J305" s="2290"/>
      <c r="K305" s="2289"/>
      <c r="L305" s="2289"/>
      <c r="M305" s="2290"/>
      <c r="N305" s="2290"/>
      <c r="O305" s="2290"/>
      <c r="P305" s="2290"/>
      <c r="Q305" s="2289"/>
      <c r="R305" s="2289"/>
      <c r="S305" s="2289"/>
      <c r="T305" s="2291"/>
      <c r="U305" s="2289"/>
      <c r="V305" s="2289"/>
      <c r="W305" s="2289"/>
      <c r="X305" s="2292"/>
      <c r="Y305" s="2292"/>
      <c r="Z305" s="2289"/>
      <c r="AA305" s="2289"/>
      <c r="AB305" s="2289"/>
      <c r="AC305" s="2289"/>
      <c r="AD305" s="2293"/>
      <c r="AE305" s="2293"/>
      <c r="AF305" s="2293"/>
      <c r="AG305" s="2293"/>
      <c r="AH305" s="2289"/>
      <c r="AI305" s="2289"/>
      <c r="AJ305" s="2294"/>
      <c r="AK305" s="2294"/>
      <c r="AL305" s="2289"/>
      <c r="AM305" s="2289"/>
      <c r="AN305" s="2289"/>
      <c r="AO305" s="2289"/>
      <c r="AP305" s="2289"/>
      <c r="AQ305" s="2289"/>
      <c r="AR305" s="2294"/>
      <c r="AS305" s="2294"/>
      <c r="AT305" s="2295"/>
      <c r="AU305" s="2295"/>
      <c r="AV305" s="2295"/>
      <c r="AW305" s="2295"/>
      <c r="AX305" s="2296"/>
      <c r="AY305" s="2289"/>
      <c r="AZ305" s="2289"/>
      <c r="BA305" s="2289"/>
      <c r="BB305" s="2289"/>
      <c r="BC305" s="2289"/>
      <c r="BD305" s="2289"/>
      <c r="BE305" s="2289"/>
      <c r="BF305" s="2289"/>
      <c r="BG305" s="2289"/>
      <c r="BH305" s="2289"/>
      <c r="BI305" s="2289"/>
      <c r="BJ305" s="2289"/>
      <c r="BK305" s="2289"/>
      <c r="BL305" s="2289"/>
      <c r="BM305" s="2289"/>
      <c r="BN305" s="2289"/>
      <c r="BO305" s="2289"/>
      <c r="BP305" s="2289"/>
      <c r="BQ305" s="2289"/>
      <c r="BR305" s="2289"/>
    </row>
    <row r="306" spans="1:70" ht="15.75" customHeight="1">
      <c r="A306" s="2289"/>
      <c r="B306" s="2289"/>
      <c r="C306" s="2289"/>
      <c r="D306" s="2289"/>
      <c r="E306" s="2289"/>
      <c r="F306" s="2289"/>
      <c r="G306" s="2290"/>
      <c r="H306" s="2289"/>
      <c r="I306" s="2289"/>
      <c r="J306" s="2290"/>
      <c r="K306" s="2289"/>
      <c r="L306" s="2289"/>
      <c r="M306" s="2290"/>
      <c r="N306" s="2290"/>
      <c r="O306" s="2290"/>
      <c r="P306" s="2290"/>
      <c r="Q306" s="2289"/>
      <c r="R306" s="2289"/>
      <c r="S306" s="2289"/>
      <c r="T306" s="2291"/>
      <c r="U306" s="2289"/>
      <c r="V306" s="2289"/>
      <c r="W306" s="2289"/>
      <c r="X306" s="2292"/>
      <c r="Y306" s="2292"/>
      <c r="Z306" s="2289"/>
      <c r="AA306" s="2289"/>
      <c r="AB306" s="2289"/>
      <c r="AC306" s="2289"/>
      <c r="AD306" s="2293"/>
      <c r="AE306" s="2293"/>
      <c r="AF306" s="2293"/>
      <c r="AG306" s="2293"/>
      <c r="AH306" s="2289"/>
      <c r="AI306" s="2289"/>
      <c r="AJ306" s="2294"/>
      <c r="AK306" s="2294"/>
      <c r="AL306" s="2289"/>
      <c r="AM306" s="2289"/>
      <c r="AN306" s="2289"/>
      <c r="AO306" s="2289"/>
      <c r="AP306" s="2289"/>
      <c r="AQ306" s="2289"/>
      <c r="AR306" s="2294"/>
      <c r="AS306" s="2294"/>
      <c r="AT306" s="2295"/>
      <c r="AU306" s="2295"/>
      <c r="AV306" s="2295"/>
      <c r="AW306" s="2295"/>
      <c r="AX306" s="2296"/>
      <c r="AY306" s="2289"/>
      <c r="AZ306" s="2289"/>
      <c r="BA306" s="2289"/>
      <c r="BB306" s="2289"/>
      <c r="BC306" s="2289"/>
      <c r="BD306" s="2289"/>
      <c r="BE306" s="2289"/>
      <c r="BF306" s="2289"/>
      <c r="BG306" s="2289"/>
      <c r="BH306" s="2289"/>
      <c r="BI306" s="2289"/>
      <c r="BJ306" s="2289"/>
      <c r="BK306" s="2289"/>
      <c r="BL306" s="2289"/>
      <c r="BM306" s="2289"/>
      <c r="BN306" s="2289"/>
      <c r="BO306" s="2289"/>
      <c r="BP306" s="2289"/>
      <c r="BQ306" s="2289"/>
      <c r="BR306" s="2289"/>
    </row>
    <row r="307" spans="1:70" ht="15.75" customHeight="1">
      <c r="A307" s="2289"/>
      <c r="B307" s="2289"/>
      <c r="C307" s="2289"/>
      <c r="D307" s="2289"/>
      <c r="E307" s="2289"/>
      <c r="F307" s="2289"/>
      <c r="G307" s="2290"/>
      <c r="H307" s="2289"/>
      <c r="I307" s="2289"/>
      <c r="J307" s="2290"/>
      <c r="K307" s="2289"/>
      <c r="L307" s="2289"/>
      <c r="M307" s="2290"/>
      <c r="N307" s="2290"/>
      <c r="O307" s="2290"/>
      <c r="P307" s="2290"/>
      <c r="Q307" s="2289"/>
      <c r="R307" s="2289"/>
      <c r="S307" s="2289"/>
      <c r="T307" s="2291"/>
      <c r="U307" s="2289"/>
      <c r="V307" s="2289"/>
      <c r="W307" s="2289"/>
      <c r="X307" s="2292"/>
      <c r="Y307" s="2292"/>
      <c r="Z307" s="2289"/>
      <c r="AA307" s="2289"/>
      <c r="AB307" s="2289"/>
      <c r="AC307" s="2289"/>
      <c r="AD307" s="2293"/>
      <c r="AE307" s="2293"/>
      <c r="AF307" s="2293"/>
      <c r="AG307" s="2293"/>
      <c r="AH307" s="2289"/>
      <c r="AI307" s="2289"/>
      <c r="AJ307" s="2294"/>
      <c r="AK307" s="2294"/>
      <c r="AL307" s="2289"/>
      <c r="AM307" s="2289"/>
      <c r="AN307" s="2289"/>
      <c r="AO307" s="2289"/>
      <c r="AP307" s="2289"/>
      <c r="AQ307" s="2289"/>
      <c r="AR307" s="2294"/>
      <c r="AS307" s="2294"/>
      <c r="AT307" s="2295"/>
      <c r="AU307" s="2295"/>
      <c r="AV307" s="2295"/>
      <c r="AW307" s="2295"/>
      <c r="AX307" s="2296"/>
      <c r="AY307" s="2289"/>
      <c r="AZ307" s="2289"/>
      <c r="BA307" s="2289"/>
      <c r="BB307" s="2289"/>
      <c r="BC307" s="2289"/>
      <c r="BD307" s="2289"/>
      <c r="BE307" s="2289"/>
      <c r="BF307" s="2289"/>
      <c r="BG307" s="2289"/>
      <c r="BH307" s="2289"/>
      <c r="BI307" s="2289"/>
      <c r="BJ307" s="2289"/>
      <c r="BK307" s="2289"/>
      <c r="BL307" s="2289"/>
      <c r="BM307" s="2289"/>
      <c r="BN307" s="2289"/>
      <c r="BO307" s="2289"/>
      <c r="BP307" s="2289"/>
      <c r="BQ307" s="2289"/>
      <c r="BR307" s="2289"/>
    </row>
    <row r="308" spans="1:70" ht="15.75" customHeight="1">
      <c r="A308" s="2289"/>
      <c r="B308" s="2289"/>
      <c r="C308" s="2289"/>
      <c r="D308" s="2289"/>
      <c r="E308" s="2289"/>
      <c r="F308" s="2289"/>
      <c r="G308" s="2290"/>
      <c r="H308" s="2289"/>
      <c r="I308" s="2289"/>
      <c r="J308" s="2290"/>
      <c r="K308" s="2289"/>
      <c r="L308" s="2289"/>
      <c r="M308" s="2290"/>
      <c r="N308" s="2290"/>
      <c r="O308" s="2290"/>
      <c r="P308" s="2290"/>
      <c r="Q308" s="2289"/>
      <c r="R308" s="2289"/>
      <c r="S308" s="2289"/>
      <c r="T308" s="2291"/>
      <c r="U308" s="2289"/>
      <c r="V308" s="2289"/>
      <c r="W308" s="2289"/>
      <c r="X308" s="2292"/>
      <c r="Y308" s="2292"/>
      <c r="Z308" s="2289"/>
      <c r="AA308" s="2289"/>
      <c r="AB308" s="2289"/>
      <c r="AC308" s="2289"/>
      <c r="AD308" s="2293"/>
      <c r="AE308" s="2293"/>
      <c r="AF308" s="2293"/>
      <c r="AG308" s="2293"/>
      <c r="AH308" s="2289"/>
      <c r="AI308" s="2289"/>
      <c r="AJ308" s="2294"/>
      <c r="AK308" s="2294"/>
      <c r="AL308" s="2289"/>
      <c r="AM308" s="2289"/>
      <c r="AN308" s="2289"/>
      <c r="AO308" s="2289"/>
      <c r="AP308" s="2289"/>
      <c r="AQ308" s="2289"/>
      <c r="AR308" s="2294"/>
      <c r="AS308" s="2294"/>
      <c r="AT308" s="2295"/>
      <c r="AU308" s="2295"/>
      <c r="AV308" s="2295"/>
      <c r="AW308" s="2295"/>
      <c r="AX308" s="2296"/>
      <c r="AY308" s="2289"/>
      <c r="AZ308" s="2289"/>
      <c r="BA308" s="2289"/>
      <c r="BB308" s="2289"/>
      <c r="BC308" s="2289"/>
      <c r="BD308" s="2289"/>
      <c r="BE308" s="2289"/>
      <c r="BF308" s="2289"/>
      <c r="BG308" s="2289"/>
      <c r="BH308" s="2289"/>
      <c r="BI308" s="2289"/>
      <c r="BJ308" s="2289"/>
      <c r="BK308" s="2289"/>
      <c r="BL308" s="2289"/>
      <c r="BM308" s="2289"/>
      <c r="BN308" s="2289"/>
      <c r="BO308" s="2289"/>
      <c r="BP308" s="2289"/>
      <c r="BQ308" s="2289"/>
      <c r="BR308" s="2289"/>
    </row>
    <row r="309" spans="1:70" ht="15.75" customHeight="1">
      <c r="A309" s="2289"/>
      <c r="B309" s="2289"/>
      <c r="C309" s="2289"/>
      <c r="D309" s="2289"/>
      <c r="E309" s="2289"/>
      <c r="F309" s="2289"/>
      <c r="G309" s="2290"/>
      <c r="H309" s="2289"/>
      <c r="I309" s="2289"/>
      <c r="J309" s="2290"/>
      <c r="K309" s="2289"/>
      <c r="L309" s="2289"/>
      <c r="M309" s="2290"/>
      <c r="N309" s="2290"/>
      <c r="O309" s="2290"/>
      <c r="P309" s="2290"/>
      <c r="Q309" s="2289"/>
      <c r="R309" s="2289"/>
      <c r="S309" s="2289"/>
      <c r="T309" s="2291"/>
      <c r="U309" s="2289"/>
      <c r="V309" s="2289"/>
      <c r="W309" s="2289"/>
      <c r="X309" s="2292"/>
      <c r="Y309" s="2292"/>
      <c r="Z309" s="2289"/>
      <c r="AA309" s="2289"/>
      <c r="AB309" s="2289"/>
      <c r="AC309" s="2289"/>
      <c r="AD309" s="2293"/>
      <c r="AE309" s="2293"/>
      <c r="AF309" s="2293"/>
      <c r="AG309" s="2293"/>
      <c r="AH309" s="2289"/>
      <c r="AI309" s="2289"/>
      <c r="AJ309" s="2294"/>
      <c r="AK309" s="2294"/>
      <c r="AL309" s="2289"/>
      <c r="AM309" s="2289"/>
      <c r="AN309" s="2289"/>
      <c r="AO309" s="2289"/>
      <c r="AP309" s="2289"/>
      <c r="AQ309" s="2289"/>
      <c r="AR309" s="2294"/>
      <c r="AS309" s="2294"/>
      <c r="AT309" s="2295"/>
      <c r="AU309" s="2295"/>
      <c r="AV309" s="2295"/>
      <c r="AW309" s="2295"/>
      <c r="AX309" s="2296"/>
      <c r="AY309" s="2289"/>
      <c r="AZ309" s="2289"/>
      <c r="BA309" s="2289"/>
      <c r="BB309" s="2289"/>
      <c r="BC309" s="2289"/>
      <c r="BD309" s="2289"/>
      <c r="BE309" s="2289"/>
      <c r="BF309" s="2289"/>
      <c r="BG309" s="2289"/>
      <c r="BH309" s="2289"/>
      <c r="BI309" s="2289"/>
      <c r="BJ309" s="2289"/>
      <c r="BK309" s="2289"/>
      <c r="BL309" s="2289"/>
      <c r="BM309" s="2289"/>
      <c r="BN309" s="2289"/>
      <c r="BO309" s="2289"/>
      <c r="BP309" s="2289"/>
      <c r="BQ309" s="2289"/>
      <c r="BR309" s="2289"/>
    </row>
    <row r="310" spans="1:70" ht="15.75" customHeight="1">
      <c r="A310" s="2289"/>
      <c r="B310" s="2289"/>
      <c r="C310" s="2289"/>
      <c r="D310" s="2289"/>
      <c r="E310" s="2289"/>
      <c r="F310" s="2289"/>
      <c r="G310" s="2290"/>
      <c r="H310" s="2289"/>
      <c r="I310" s="2289"/>
      <c r="J310" s="2290"/>
      <c r="K310" s="2289"/>
      <c r="L310" s="2289"/>
      <c r="M310" s="2290"/>
      <c r="N310" s="2290"/>
      <c r="O310" s="2290"/>
      <c r="P310" s="2290"/>
      <c r="Q310" s="2289"/>
      <c r="R310" s="2289"/>
      <c r="S310" s="2289"/>
      <c r="T310" s="2291"/>
      <c r="U310" s="2289"/>
      <c r="V310" s="2289"/>
      <c r="W310" s="2289"/>
      <c r="X310" s="2292"/>
      <c r="Y310" s="2292"/>
      <c r="Z310" s="2289"/>
      <c r="AA310" s="2289"/>
      <c r="AB310" s="2289"/>
      <c r="AC310" s="2289"/>
      <c r="AD310" s="2293"/>
      <c r="AE310" s="2293"/>
      <c r="AF310" s="2293"/>
      <c r="AG310" s="2293"/>
      <c r="AH310" s="2289"/>
      <c r="AI310" s="2289"/>
      <c r="AJ310" s="2294"/>
      <c r="AK310" s="2294"/>
      <c r="AL310" s="2289"/>
      <c r="AM310" s="2289"/>
      <c r="AN310" s="2289"/>
      <c r="AO310" s="2289"/>
      <c r="AP310" s="2289"/>
      <c r="AQ310" s="2289"/>
      <c r="AR310" s="2294"/>
      <c r="AS310" s="2294"/>
      <c r="AT310" s="2295"/>
      <c r="AU310" s="2295"/>
      <c r="AV310" s="2295"/>
      <c r="AW310" s="2295"/>
      <c r="AX310" s="2296"/>
      <c r="AY310" s="2289"/>
      <c r="AZ310" s="2289"/>
      <c r="BA310" s="2289"/>
      <c r="BB310" s="2289"/>
      <c r="BC310" s="2289"/>
      <c r="BD310" s="2289"/>
      <c r="BE310" s="2289"/>
      <c r="BF310" s="2289"/>
      <c r="BG310" s="2289"/>
      <c r="BH310" s="2289"/>
      <c r="BI310" s="2289"/>
      <c r="BJ310" s="2289"/>
      <c r="BK310" s="2289"/>
      <c r="BL310" s="2289"/>
      <c r="BM310" s="2289"/>
      <c r="BN310" s="2289"/>
      <c r="BO310" s="2289"/>
      <c r="BP310" s="2289"/>
      <c r="BQ310" s="2289"/>
      <c r="BR310" s="2289"/>
    </row>
    <row r="311" spans="1:70" ht="15.75" customHeight="1">
      <c r="A311" s="2289"/>
      <c r="B311" s="2289"/>
      <c r="C311" s="2289"/>
      <c r="D311" s="2289"/>
      <c r="E311" s="2289"/>
      <c r="F311" s="2289"/>
      <c r="G311" s="2290"/>
      <c r="H311" s="2289"/>
      <c r="I311" s="2289"/>
      <c r="J311" s="2290"/>
      <c r="K311" s="2289"/>
      <c r="L311" s="2289"/>
      <c r="M311" s="2290"/>
      <c r="N311" s="2290"/>
      <c r="O311" s="2290"/>
      <c r="P311" s="2290"/>
      <c r="Q311" s="2289"/>
      <c r="R311" s="2289"/>
      <c r="S311" s="2289"/>
      <c r="T311" s="2291"/>
      <c r="U311" s="2289"/>
      <c r="V311" s="2289"/>
      <c r="W311" s="2289"/>
      <c r="X311" s="2292"/>
      <c r="Y311" s="2292"/>
      <c r="Z311" s="2289"/>
      <c r="AA311" s="2289"/>
      <c r="AB311" s="2289"/>
      <c r="AC311" s="2289"/>
      <c r="AD311" s="2293"/>
      <c r="AE311" s="2293"/>
      <c r="AF311" s="2293"/>
      <c r="AG311" s="2293"/>
      <c r="AH311" s="2289"/>
      <c r="AI311" s="2289"/>
      <c r="AJ311" s="2294"/>
      <c r="AK311" s="2294"/>
      <c r="AL311" s="2289"/>
      <c r="AM311" s="2289"/>
      <c r="AN311" s="2289"/>
      <c r="AO311" s="2289"/>
      <c r="AP311" s="2289"/>
      <c r="AQ311" s="2289"/>
      <c r="AR311" s="2294"/>
      <c r="AS311" s="2294"/>
      <c r="AT311" s="2295"/>
      <c r="AU311" s="2295"/>
      <c r="AV311" s="2295"/>
      <c r="AW311" s="2295"/>
      <c r="AX311" s="2296"/>
      <c r="AY311" s="2289"/>
      <c r="AZ311" s="2289"/>
      <c r="BA311" s="2289"/>
      <c r="BB311" s="2289"/>
      <c r="BC311" s="2289"/>
      <c r="BD311" s="2289"/>
      <c r="BE311" s="2289"/>
      <c r="BF311" s="2289"/>
      <c r="BG311" s="2289"/>
      <c r="BH311" s="2289"/>
      <c r="BI311" s="2289"/>
      <c r="BJ311" s="2289"/>
      <c r="BK311" s="2289"/>
      <c r="BL311" s="2289"/>
      <c r="BM311" s="2289"/>
      <c r="BN311" s="2289"/>
      <c r="BO311" s="2289"/>
      <c r="BP311" s="2289"/>
      <c r="BQ311" s="2289"/>
      <c r="BR311" s="2289"/>
    </row>
    <row r="312" spans="1:70" ht="15.75" customHeight="1">
      <c r="A312" s="2289"/>
      <c r="B312" s="2289"/>
      <c r="C312" s="2289"/>
      <c r="D312" s="2289"/>
      <c r="E312" s="2289"/>
      <c r="F312" s="2289"/>
      <c r="G312" s="2290"/>
      <c r="H312" s="2289"/>
      <c r="I312" s="2289"/>
      <c r="J312" s="2290"/>
      <c r="K312" s="2289"/>
      <c r="L312" s="2289"/>
      <c r="M312" s="2290"/>
      <c r="N312" s="2290"/>
      <c r="O312" s="2290"/>
      <c r="P312" s="2290"/>
      <c r="Q312" s="2289"/>
      <c r="R312" s="2289"/>
      <c r="S312" s="2289"/>
      <c r="T312" s="2291"/>
      <c r="U312" s="2289"/>
      <c r="V312" s="2289"/>
      <c r="W312" s="2289"/>
      <c r="X312" s="2292"/>
      <c r="Y312" s="2292"/>
      <c r="Z312" s="2289"/>
      <c r="AA312" s="2289"/>
      <c r="AB312" s="2289"/>
      <c r="AC312" s="2289"/>
      <c r="AD312" s="2293"/>
      <c r="AE312" s="2293"/>
      <c r="AF312" s="2293"/>
      <c r="AG312" s="2293"/>
      <c r="AH312" s="2289"/>
      <c r="AI312" s="2289"/>
      <c r="AJ312" s="2294"/>
      <c r="AK312" s="2294"/>
      <c r="AL312" s="2289"/>
      <c r="AM312" s="2289"/>
      <c r="AN312" s="2289"/>
      <c r="AO312" s="2289"/>
      <c r="AP312" s="2289"/>
      <c r="AQ312" s="2289"/>
      <c r="AR312" s="2294"/>
      <c r="AS312" s="2294"/>
      <c r="AT312" s="2295"/>
      <c r="AU312" s="2295"/>
      <c r="AV312" s="2295"/>
      <c r="AW312" s="2295"/>
      <c r="AX312" s="2296"/>
      <c r="AY312" s="2289"/>
      <c r="AZ312" s="2289"/>
      <c r="BA312" s="2289"/>
      <c r="BB312" s="2289"/>
      <c r="BC312" s="2289"/>
      <c r="BD312" s="2289"/>
      <c r="BE312" s="2289"/>
      <c r="BF312" s="2289"/>
      <c r="BG312" s="2289"/>
      <c r="BH312" s="2289"/>
      <c r="BI312" s="2289"/>
      <c r="BJ312" s="2289"/>
      <c r="BK312" s="2289"/>
      <c r="BL312" s="2289"/>
      <c r="BM312" s="2289"/>
      <c r="BN312" s="2289"/>
      <c r="BO312" s="2289"/>
      <c r="BP312" s="2289"/>
      <c r="BQ312" s="2289"/>
      <c r="BR312" s="2289"/>
    </row>
    <row r="313" spans="1:70" ht="15.75" customHeight="1">
      <c r="A313" s="2289"/>
      <c r="B313" s="2289"/>
      <c r="C313" s="2289"/>
      <c r="D313" s="2289"/>
      <c r="E313" s="2289"/>
      <c r="F313" s="2289"/>
      <c r="G313" s="2290"/>
      <c r="H313" s="2289"/>
      <c r="I313" s="2289"/>
      <c r="J313" s="2290"/>
      <c r="K313" s="2289"/>
      <c r="L313" s="2289"/>
      <c r="M313" s="2290"/>
      <c r="N313" s="2290"/>
      <c r="O313" s="2290"/>
      <c r="P313" s="2290"/>
      <c r="Q313" s="2289"/>
      <c r="R313" s="2289"/>
      <c r="S313" s="2289"/>
      <c r="T313" s="2291"/>
      <c r="U313" s="2289"/>
      <c r="V313" s="2289"/>
      <c r="W313" s="2289"/>
      <c r="X313" s="2292"/>
      <c r="Y313" s="2292"/>
      <c r="Z313" s="2289"/>
      <c r="AA313" s="2289"/>
      <c r="AB313" s="2289"/>
      <c r="AC313" s="2289"/>
      <c r="AD313" s="2293"/>
      <c r="AE313" s="2293"/>
      <c r="AF313" s="2293"/>
      <c r="AG313" s="2293"/>
      <c r="AH313" s="2289"/>
      <c r="AI313" s="2289"/>
      <c r="AJ313" s="2294"/>
      <c r="AK313" s="2294"/>
      <c r="AL313" s="2289"/>
      <c r="AM313" s="2289"/>
      <c r="AN313" s="2289"/>
      <c r="AO313" s="2289"/>
      <c r="AP313" s="2289"/>
      <c r="AQ313" s="2289"/>
      <c r="AR313" s="2294"/>
      <c r="AS313" s="2294"/>
      <c r="AT313" s="2295"/>
      <c r="AU313" s="2295"/>
      <c r="AV313" s="2295"/>
      <c r="AW313" s="2295"/>
      <c r="AX313" s="2296"/>
      <c r="AY313" s="2289"/>
      <c r="AZ313" s="2289"/>
      <c r="BA313" s="2289"/>
      <c r="BB313" s="2289"/>
      <c r="BC313" s="2289"/>
      <c r="BD313" s="2289"/>
      <c r="BE313" s="2289"/>
      <c r="BF313" s="2289"/>
      <c r="BG313" s="2289"/>
      <c r="BH313" s="2289"/>
      <c r="BI313" s="2289"/>
      <c r="BJ313" s="2289"/>
      <c r="BK313" s="2289"/>
      <c r="BL313" s="2289"/>
      <c r="BM313" s="2289"/>
      <c r="BN313" s="2289"/>
      <c r="BO313" s="2289"/>
      <c r="BP313" s="2289"/>
      <c r="BQ313" s="2289"/>
      <c r="BR313" s="2289"/>
    </row>
    <row r="314" spans="1:70" ht="15.75" customHeight="1">
      <c r="A314" s="2289"/>
      <c r="B314" s="2289"/>
      <c r="C314" s="2289"/>
      <c r="D314" s="2289"/>
      <c r="E314" s="2289"/>
      <c r="F314" s="2289"/>
      <c r="G314" s="2290"/>
      <c r="H314" s="2289"/>
      <c r="I314" s="2289"/>
      <c r="J314" s="2290"/>
      <c r="K314" s="2289"/>
      <c r="L314" s="2289"/>
      <c r="M314" s="2290"/>
      <c r="N314" s="2290"/>
      <c r="O314" s="2290"/>
      <c r="P314" s="2290"/>
      <c r="Q314" s="2289"/>
      <c r="R314" s="2289"/>
      <c r="S314" s="2289"/>
      <c r="T314" s="2291"/>
      <c r="U314" s="2289"/>
      <c r="V314" s="2289"/>
      <c r="W314" s="2289"/>
      <c r="X314" s="2292"/>
      <c r="Y314" s="2292"/>
      <c r="Z314" s="2289"/>
      <c r="AA314" s="2289"/>
      <c r="AB314" s="2289"/>
      <c r="AC314" s="2289"/>
      <c r="AD314" s="2293"/>
      <c r="AE314" s="2293"/>
      <c r="AF314" s="2293"/>
      <c r="AG314" s="2293"/>
      <c r="AH314" s="2289"/>
      <c r="AI314" s="2289"/>
      <c r="AJ314" s="2294"/>
      <c r="AK314" s="2294"/>
      <c r="AL314" s="2289"/>
      <c r="AM314" s="2289"/>
      <c r="AN314" s="2289"/>
      <c r="AO314" s="2289"/>
      <c r="AP314" s="2289"/>
      <c r="AQ314" s="2289"/>
      <c r="AR314" s="2294"/>
      <c r="AS314" s="2294"/>
      <c r="AT314" s="2295"/>
      <c r="AU314" s="2295"/>
      <c r="AV314" s="2295"/>
      <c r="AW314" s="2295"/>
      <c r="AX314" s="2296"/>
      <c r="AY314" s="2289"/>
      <c r="AZ314" s="2289"/>
      <c r="BA314" s="2289"/>
      <c r="BB314" s="2289"/>
      <c r="BC314" s="2289"/>
      <c r="BD314" s="2289"/>
      <c r="BE314" s="2289"/>
      <c r="BF314" s="2289"/>
      <c r="BG314" s="2289"/>
      <c r="BH314" s="2289"/>
      <c r="BI314" s="2289"/>
      <c r="BJ314" s="2289"/>
      <c r="BK314" s="2289"/>
      <c r="BL314" s="2289"/>
      <c r="BM314" s="2289"/>
      <c r="BN314" s="2289"/>
      <c r="BO314" s="2289"/>
      <c r="BP314" s="2289"/>
      <c r="BQ314" s="2289"/>
      <c r="BR314" s="2289"/>
    </row>
    <row r="315" spans="1:70" ht="15.75" customHeight="1">
      <c r="A315" s="2289"/>
      <c r="B315" s="2289"/>
      <c r="C315" s="2289"/>
      <c r="D315" s="2289"/>
      <c r="E315" s="2289"/>
      <c r="F315" s="2289"/>
      <c r="G315" s="2290"/>
      <c r="H315" s="2289"/>
      <c r="I315" s="2289"/>
      <c r="J315" s="2290"/>
      <c r="K315" s="2289"/>
      <c r="L315" s="2289"/>
      <c r="M315" s="2290"/>
      <c r="N315" s="2290"/>
      <c r="O315" s="2290"/>
      <c r="P315" s="2290"/>
      <c r="Q315" s="2289"/>
      <c r="R315" s="2289"/>
      <c r="S315" s="2289"/>
      <c r="T315" s="2291"/>
      <c r="U315" s="2289"/>
      <c r="V315" s="2289"/>
      <c r="W315" s="2289"/>
      <c r="X315" s="2292"/>
      <c r="Y315" s="2292"/>
      <c r="Z315" s="2289"/>
      <c r="AA315" s="2289"/>
      <c r="AB315" s="2289"/>
      <c r="AC315" s="2289"/>
      <c r="AD315" s="2293"/>
      <c r="AE315" s="2293"/>
      <c r="AF315" s="2293"/>
      <c r="AG315" s="2293"/>
      <c r="AH315" s="2289"/>
      <c r="AI315" s="2289"/>
      <c r="AJ315" s="2294"/>
      <c r="AK315" s="2294"/>
      <c r="AL315" s="2289"/>
      <c r="AM315" s="2289"/>
      <c r="AN315" s="2289"/>
      <c r="AO315" s="2289"/>
      <c r="AP315" s="2289"/>
      <c r="AQ315" s="2289"/>
      <c r="AR315" s="2294"/>
      <c r="AS315" s="2294"/>
      <c r="AT315" s="2295"/>
      <c r="AU315" s="2295"/>
      <c r="AV315" s="2295"/>
      <c r="AW315" s="2295"/>
      <c r="AX315" s="2296"/>
      <c r="AY315" s="2289"/>
      <c r="AZ315" s="2289"/>
      <c r="BA315" s="2289"/>
      <c r="BB315" s="2289"/>
      <c r="BC315" s="2289"/>
      <c r="BD315" s="2289"/>
      <c r="BE315" s="2289"/>
      <c r="BF315" s="2289"/>
      <c r="BG315" s="2289"/>
      <c r="BH315" s="2289"/>
      <c r="BI315" s="2289"/>
      <c r="BJ315" s="2289"/>
      <c r="BK315" s="2289"/>
      <c r="BL315" s="2289"/>
      <c r="BM315" s="2289"/>
      <c r="BN315" s="2289"/>
      <c r="BO315" s="2289"/>
      <c r="BP315" s="2289"/>
      <c r="BQ315" s="2289"/>
      <c r="BR315" s="2289"/>
    </row>
    <row r="316" spans="1:70" ht="15.75" customHeight="1">
      <c r="A316" s="2289"/>
      <c r="B316" s="2289"/>
      <c r="C316" s="2289"/>
      <c r="D316" s="2289"/>
      <c r="E316" s="2289"/>
      <c r="F316" s="2289"/>
      <c r="G316" s="2290"/>
      <c r="H316" s="2289"/>
      <c r="I316" s="2289"/>
      <c r="J316" s="2290"/>
      <c r="K316" s="2289"/>
      <c r="L316" s="2289"/>
      <c r="M316" s="2290"/>
      <c r="N316" s="2290"/>
      <c r="O316" s="2290"/>
      <c r="P316" s="2290"/>
      <c r="Q316" s="2289"/>
      <c r="R316" s="2289"/>
      <c r="S316" s="2289"/>
      <c r="T316" s="2291"/>
      <c r="U316" s="2289"/>
      <c r="V316" s="2289"/>
      <c r="W316" s="2289"/>
      <c r="X316" s="2292"/>
      <c r="Y316" s="2292"/>
      <c r="Z316" s="2289"/>
      <c r="AA316" s="2289"/>
      <c r="AB316" s="2289"/>
      <c r="AC316" s="2289"/>
      <c r="AD316" s="2293"/>
      <c r="AE316" s="2293"/>
      <c r="AF316" s="2293"/>
      <c r="AG316" s="2293"/>
      <c r="AH316" s="2289"/>
      <c r="AI316" s="2289"/>
      <c r="AJ316" s="2294"/>
      <c r="AK316" s="2294"/>
      <c r="AL316" s="2289"/>
      <c r="AM316" s="2289"/>
      <c r="AN316" s="2289"/>
      <c r="AO316" s="2289"/>
      <c r="AP316" s="2289"/>
      <c r="AQ316" s="2289"/>
      <c r="AR316" s="2294"/>
      <c r="AS316" s="2294"/>
      <c r="AT316" s="2295"/>
      <c r="AU316" s="2295"/>
      <c r="AV316" s="2295"/>
      <c r="AW316" s="2295"/>
      <c r="AX316" s="2296"/>
      <c r="AY316" s="2289"/>
      <c r="AZ316" s="2289"/>
      <c r="BA316" s="2289"/>
      <c r="BB316" s="2289"/>
      <c r="BC316" s="2289"/>
      <c r="BD316" s="2289"/>
      <c r="BE316" s="2289"/>
      <c r="BF316" s="2289"/>
      <c r="BG316" s="2289"/>
      <c r="BH316" s="2289"/>
      <c r="BI316" s="2289"/>
      <c r="BJ316" s="2289"/>
      <c r="BK316" s="2289"/>
      <c r="BL316" s="2289"/>
      <c r="BM316" s="2289"/>
      <c r="BN316" s="2289"/>
      <c r="BO316" s="2289"/>
      <c r="BP316" s="2289"/>
      <c r="BQ316" s="2289"/>
      <c r="BR316" s="2289"/>
    </row>
    <row r="317" spans="1:70" ht="15.75" customHeight="1">
      <c r="A317" s="2289"/>
      <c r="B317" s="2289"/>
      <c r="C317" s="2289"/>
      <c r="D317" s="2289"/>
      <c r="E317" s="2289"/>
      <c r="F317" s="2289"/>
      <c r="G317" s="2290"/>
      <c r="H317" s="2289"/>
      <c r="I317" s="2289"/>
      <c r="J317" s="2290"/>
      <c r="K317" s="2289"/>
      <c r="L317" s="2289"/>
      <c r="M317" s="2290"/>
      <c r="N317" s="2290"/>
      <c r="O317" s="2290"/>
      <c r="P317" s="2290"/>
      <c r="Q317" s="2289"/>
      <c r="R317" s="2289"/>
      <c r="S317" s="2289"/>
      <c r="T317" s="2291"/>
      <c r="U317" s="2289"/>
      <c r="V317" s="2289"/>
      <c r="W317" s="2289"/>
      <c r="X317" s="2292"/>
      <c r="Y317" s="2292"/>
      <c r="Z317" s="2289"/>
      <c r="AA317" s="2289"/>
      <c r="AB317" s="2289"/>
      <c r="AC317" s="2289"/>
      <c r="AD317" s="2293"/>
      <c r="AE317" s="2293"/>
      <c r="AF317" s="2293"/>
      <c r="AG317" s="2293"/>
      <c r="AH317" s="2289"/>
      <c r="AI317" s="2289"/>
      <c r="AJ317" s="2294"/>
      <c r="AK317" s="2294"/>
      <c r="AL317" s="2289"/>
      <c r="AM317" s="2289"/>
      <c r="AN317" s="2289"/>
      <c r="AO317" s="2289"/>
      <c r="AP317" s="2289"/>
      <c r="AQ317" s="2289"/>
      <c r="AR317" s="2294"/>
      <c r="AS317" s="2294"/>
      <c r="AT317" s="2295"/>
      <c r="AU317" s="2295"/>
      <c r="AV317" s="2295"/>
      <c r="AW317" s="2295"/>
      <c r="AX317" s="2296"/>
      <c r="AY317" s="2289"/>
      <c r="AZ317" s="2289"/>
      <c r="BA317" s="2289"/>
      <c r="BB317" s="2289"/>
      <c r="BC317" s="2289"/>
      <c r="BD317" s="2289"/>
      <c r="BE317" s="2289"/>
      <c r="BF317" s="2289"/>
      <c r="BG317" s="2289"/>
      <c r="BH317" s="2289"/>
      <c r="BI317" s="2289"/>
      <c r="BJ317" s="2289"/>
      <c r="BK317" s="2289"/>
      <c r="BL317" s="2289"/>
      <c r="BM317" s="2289"/>
      <c r="BN317" s="2289"/>
      <c r="BO317" s="2289"/>
      <c r="BP317" s="2289"/>
      <c r="BQ317" s="2289"/>
      <c r="BR317" s="2289"/>
    </row>
    <row r="318" spans="1:70" ht="15.75" customHeight="1">
      <c r="A318" s="2289"/>
      <c r="B318" s="2289"/>
      <c r="C318" s="2289"/>
      <c r="D318" s="2289"/>
      <c r="E318" s="2289"/>
      <c r="F318" s="2289"/>
      <c r="G318" s="2290"/>
      <c r="H318" s="2289"/>
      <c r="I318" s="2289"/>
      <c r="J318" s="2290"/>
      <c r="K318" s="2289"/>
      <c r="L318" s="2289"/>
      <c r="M318" s="2290"/>
      <c r="N318" s="2290"/>
      <c r="O318" s="2290"/>
      <c r="P318" s="2290"/>
      <c r="Q318" s="2289"/>
      <c r="R318" s="2289"/>
      <c r="S318" s="2289"/>
      <c r="T318" s="2291"/>
      <c r="U318" s="2289"/>
      <c r="V318" s="2289"/>
      <c r="W318" s="2289"/>
      <c r="X318" s="2292"/>
      <c r="Y318" s="2292"/>
      <c r="Z318" s="2289"/>
      <c r="AA318" s="2289"/>
      <c r="AB318" s="2289"/>
      <c r="AC318" s="2289"/>
      <c r="AD318" s="2293"/>
      <c r="AE318" s="2293"/>
      <c r="AF318" s="2293"/>
      <c r="AG318" s="2293"/>
      <c r="AH318" s="2289"/>
      <c r="AI318" s="2289"/>
      <c r="AJ318" s="2294"/>
      <c r="AK318" s="2294"/>
      <c r="AL318" s="2289"/>
      <c r="AM318" s="2289"/>
      <c r="AN318" s="2289"/>
      <c r="AO318" s="2289"/>
      <c r="AP318" s="2289"/>
      <c r="AQ318" s="2289"/>
      <c r="AR318" s="2294"/>
      <c r="AS318" s="2294"/>
      <c r="AT318" s="2295"/>
      <c r="AU318" s="2295"/>
      <c r="AV318" s="2295"/>
      <c r="AW318" s="2295"/>
      <c r="AX318" s="2296"/>
      <c r="AY318" s="2289"/>
      <c r="AZ318" s="2289"/>
      <c r="BA318" s="2289"/>
      <c r="BB318" s="2289"/>
      <c r="BC318" s="2289"/>
      <c r="BD318" s="2289"/>
      <c r="BE318" s="2289"/>
      <c r="BF318" s="2289"/>
      <c r="BG318" s="2289"/>
      <c r="BH318" s="2289"/>
      <c r="BI318" s="2289"/>
      <c r="BJ318" s="2289"/>
      <c r="BK318" s="2289"/>
      <c r="BL318" s="2289"/>
      <c r="BM318" s="2289"/>
      <c r="BN318" s="2289"/>
      <c r="BO318" s="2289"/>
      <c r="BP318" s="2289"/>
      <c r="BQ318" s="2289"/>
      <c r="BR318" s="2289"/>
    </row>
    <row r="319" spans="1:70" ht="15.75" customHeight="1">
      <c r="A319" s="2289"/>
      <c r="B319" s="2289"/>
      <c r="C319" s="2289"/>
      <c r="D319" s="2289"/>
      <c r="E319" s="2289"/>
      <c r="F319" s="2289"/>
      <c r="G319" s="2290"/>
      <c r="H319" s="2289"/>
      <c r="I319" s="2289"/>
      <c r="J319" s="2290"/>
      <c r="K319" s="2289"/>
      <c r="L319" s="2289"/>
      <c r="M319" s="2290"/>
      <c r="N319" s="2290"/>
      <c r="O319" s="2290"/>
      <c r="P319" s="2290"/>
      <c r="Q319" s="2289"/>
      <c r="R319" s="2289"/>
      <c r="S319" s="2289"/>
      <c r="T319" s="2291"/>
      <c r="U319" s="2289"/>
      <c r="V319" s="2289"/>
      <c r="W319" s="2289"/>
      <c r="X319" s="2292"/>
      <c r="Y319" s="2292"/>
      <c r="Z319" s="2289"/>
      <c r="AA319" s="2289"/>
      <c r="AB319" s="2289"/>
      <c r="AC319" s="2289"/>
      <c r="AD319" s="2293"/>
      <c r="AE319" s="2293"/>
      <c r="AF319" s="2293"/>
      <c r="AG319" s="2293"/>
      <c r="AH319" s="2289"/>
      <c r="AI319" s="2289"/>
      <c r="AJ319" s="2294"/>
      <c r="AK319" s="2294"/>
      <c r="AL319" s="2289"/>
      <c r="AM319" s="2289"/>
      <c r="AN319" s="2289"/>
      <c r="AO319" s="2289"/>
      <c r="AP319" s="2289"/>
      <c r="AQ319" s="2289"/>
      <c r="AR319" s="2294"/>
      <c r="AS319" s="2294"/>
      <c r="AT319" s="2295"/>
      <c r="AU319" s="2295"/>
      <c r="AV319" s="2295"/>
      <c r="AW319" s="2295"/>
      <c r="AX319" s="2296"/>
      <c r="AY319" s="2289"/>
      <c r="AZ319" s="2289"/>
      <c r="BA319" s="2289"/>
      <c r="BB319" s="2289"/>
      <c r="BC319" s="2289"/>
      <c r="BD319" s="2289"/>
      <c r="BE319" s="2289"/>
      <c r="BF319" s="2289"/>
      <c r="BG319" s="2289"/>
      <c r="BH319" s="2289"/>
      <c r="BI319" s="2289"/>
      <c r="BJ319" s="2289"/>
      <c r="BK319" s="2289"/>
      <c r="BL319" s="2289"/>
      <c r="BM319" s="2289"/>
      <c r="BN319" s="2289"/>
      <c r="BO319" s="2289"/>
      <c r="BP319" s="2289"/>
      <c r="BQ319" s="2289"/>
      <c r="BR319" s="2289"/>
    </row>
    <row r="320" spans="1:70" ht="15.75" customHeight="1">
      <c r="A320" s="2289"/>
      <c r="B320" s="2289"/>
      <c r="C320" s="2289"/>
      <c r="D320" s="2289"/>
      <c r="E320" s="2289"/>
      <c r="F320" s="2289"/>
      <c r="G320" s="2290"/>
      <c r="H320" s="2289"/>
      <c r="I320" s="2289"/>
      <c r="J320" s="2290"/>
      <c r="K320" s="2289"/>
      <c r="L320" s="2289"/>
      <c r="M320" s="2290"/>
      <c r="N320" s="2290"/>
      <c r="O320" s="2290"/>
      <c r="P320" s="2290"/>
      <c r="Q320" s="2289"/>
      <c r="R320" s="2289"/>
      <c r="S320" s="2289"/>
      <c r="T320" s="2291"/>
      <c r="U320" s="2289"/>
      <c r="V320" s="2289"/>
      <c r="W320" s="2289"/>
      <c r="X320" s="2292"/>
      <c r="Y320" s="2292"/>
      <c r="Z320" s="2289"/>
      <c r="AA320" s="2289"/>
      <c r="AB320" s="2289"/>
      <c r="AC320" s="2289"/>
      <c r="AD320" s="2293"/>
      <c r="AE320" s="2293"/>
      <c r="AF320" s="2293"/>
      <c r="AG320" s="2293"/>
      <c r="AH320" s="2289"/>
      <c r="AI320" s="2289"/>
      <c r="AJ320" s="2294"/>
      <c r="AK320" s="2294"/>
      <c r="AL320" s="2289"/>
      <c r="AM320" s="2289"/>
      <c r="AN320" s="2289"/>
      <c r="AO320" s="2289"/>
      <c r="AP320" s="2289"/>
      <c r="AQ320" s="2289"/>
      <c r="AR320" s="2294"/>
      <c r="AS320" s="2294"/>
      <c r="AT320" s="2295"/>
      <c r="AU320" s="2295"/>
      <c r="AV320" s="2295"/>
      <c r="AW320" s="2295"/>
      <c r="AX320" s="2296"/>
      <c r="AY320" s="2289"/>
      <c r="AZ320" s="2289"/>
      <c r="BA320" s="2289"/>
      <c r="BB320" s="2289"/>
      <c r="BC320" s="2289"/>
      <c r="BD320" s="2289"/>
      <c r="BE320" s="2289"/>
      <c r="BF320" s="2289"/>
      <c r="BG320" s="2289"/>
      <c r="BH320" s="2289"/>
      <c r="BI320" s="2289"/>
      <c r="BJ320" s="2289"/>
      <c r="BK320" s="2289"/>
      <c r="BL320" s="2289"/>
      <c r="BM320" s="2289"/>
      <c r="BN320" s="2289"/>
      <c r="BO320" s="2289"/>
      <c r="BP320" s="2289"/>
      <c r="BQ320" s="2289"/>
      <c r="BR320" s="2289"/>
    </row>
    <row r="321" spans="1:70" ht="15.75" customHeight="1">
      <c r="A321" s="2289"/>
      <c r="B321" s="2289"/>
      <c r="C321" s="2289"/>
      <c r="D321" s="2289"/>
      <c r="E321" s="2289"/>
      <c r="F321" s="2289"/>
      <c r="G321" s="2290"/>
      <c r="H321" s="2289"/>
      <c r="I321" s="2289"/>
      <c r="J321" s="2290"/>
      <c r="K321" s="2289"/>
      <c r="L321" s="2289"/>
      <c r="M321" s="2290"/>
      <c r="N321" s="2290"/>
      <c r="O321" s="2290"/>
      <c r="P321" s="2290"/>
      <c r="Q321" s="2289"/>
      <c r="R321" s="2289"/>
      <c r="S321" s="2289"/>
      <c r="T321" s="2291"/>
      <c r="U321" s="2289"/>
      <c r="V321" s="2289"/>
      <c r="W321" s="2289"/>
      <c r="X321" s="2292"/>
      <c r="Y321" s="2292"/>
      <c r="Z321" s="2289"/>
      <c r="AA321" s="2289"/>
      <c r="AB321" s="2289"/>
      <c r="AC321" s="2289"/>
      <c r="AD321" s="2293"/>
      <c r="AE321" s="2293"/>
      <c r="AF321" s="2293"/>
      <c r="AG321" s="2293"/>
      <c r="AH321" s="2289"/>
      <c r="AI321" s="2289"/>
      <c r="AJ321" s="2294"/>
      <c r="AK321" s="2294"/>
      <c r="AL321" s="2289"/>
      <c r="AM321" s="2289"/>
      <c r="AN321" s="2289"/>
      <c r="AO321" s="2289"/>
      <c r="AP321" s="2289"/>
      <c r="AQ321" s="2289"/>
      <c r="AR321" s="2294"/>
      <c r="AS321" s="2294"/>
      <c r="AT321" s="2295"/>
      <c r="AU321" s="2295"/>
      <c r="AV321" s="2295"/>
      <c r="AW321" s="2295"/>
      <c r="AX321" s="2296"/>
      <c r="AY321" s="2289"/>
      <c r="AZ321" s="2289"/>
      <c r="BA321" s="2289"/>
      <c r="BB321" s="2289"/>
      <c r="BC321" s="2289"/>
      <c r="BD321" s="2289"/>
      <c r="BE321" s="2289"/>
      <c r="BF321" s="2289"/>
      <c r="BG321" s="2289"/>
      <c r="BH321" s="2289"/>
      <c r="BI321" s="2289"/>
      <c r="BJ321" s="2289"/>
      <c r="BK321" s="2289"/>
      <c r="BL321" s="2289"/>
      <c r="BM321" s="2289"/>
      <c r="BN321" s="2289"/>
      <c r="BO321" s="2289"/>
      <c r="BP321" s="2289"/>
      <c r="BQ321" s="2289"/>
      <c r="BR321" s="2289"/>
    </row>
    <row r="322" spans="1:70" ht="15.75" customHeight="1">
      <c r="A322" s="2289"/>
      <c r="B322" s="2289"/>
      <c r="C322" s="2289"/>
      <c r="D322" s="2289"/>
      <c r="E322" s="2289"/>
      <c r="F322" s="2289"/>
      <c r="G322" s="2290"/>
      <c r="H322" s="2289"/>
      <c r="I322" s="2289"/>
      <c r="J322" s="2290"/>
      <c r="K322" s="2289"/>
      <c r="L322" s="2289"/>
      <c r="M322" s="2290"/>
      <c r="N322" s="2290"/>
      <c r="O322" s="2290"/>
      <c r="P322" s="2290"/>
      <c r="Q322" s="2289"/>
      <c r="R322" s="2289"/>
      <c r="S322" s="2289"/>
      <c r="T322" s="2291"/>
      <c r="U322" s="2289"/>
      <c r="V322" s="2289"/>
      <c r="W322" s="2289"/>
      <c r="X322" s="2292"/>
      <c r="Y322" s="2292"/>
      <c r="Z322" s="2289"/>
      <c r="AA322" s="2289"/>
      <c r="AB322" s="2289"/>
      <c r="AC322" s="2289"/>
      <c r="AD322" s="2293"/>
      <c r="AE322" s="2293"/>
      <c r="AF322" s="2293"/>
      <c r="AG322" s="2293"/>
      <c r="AH322" s="2289"/>
      <c r="AI322" s="2289"/>
      <c r="AJ322" s="2294"/>
      <c r="AK322" s="2294"/>
      <c r="AL322" s="2289"/>
      <c r="AM322" s="2289"/>
      <c r="AN322" s="2289"/>
      <c r="AO322" s="2289"/>
      <c r="AP322" s="2289"/>
      <c r="AQ322" s="2289"/>
      <c r="AR322" s="2294"/>
      <c r="AS322" s="2294"/>
      <c r="AT322" s="2295"/>
      <c r="AU322" s="2295"/>
      <c r="AV322" s="2295"/>
      <c r="AW322" s="2295"/>
      <c r="AX322" s="2296"/>
      <c r="AY322" s="2289"/>
      <c r="AZ322" s="2289"/>
      <c r="BA322" s="2289"/>
      <c r="BB322" s="2289"/>
      <c r="BC322" s="2289"/>
      <c r="BD322" s="2289"/>
      <c r="BE322" s="2289"/>
      <c r="BF322" s="2289"/>
      <c r="BG322" s="2289"/>
      <c r="BH322" s="2289"/>
      <c r="BI322" s="2289"/>
      <c r="BJ322" s="2289"/>
      <c r="BK322" s="2289"/>
      <c r="BL322" s="2289"/>
      <c r="BM322" s="2289"/>
      <c r="BN322" s="2289"/>
      <c r="BO322" s="2289"/>
      <c r="BP322" s="2289"/>
      <c r="BQ322" s="2289"/>
      <c r="BR322" s="2289"/>
    </row>
    <row r="323" spans="1:70" ht="15.75" customHeight="1">
      <c r="A323" s="2289"/>
      <c r="B323" s="2289"/>
      <c r="C323" s="2289"/>
      <c r="D323" s="2289"/>
      <c r="E323" s="2289"/>
      <c r="F323" s="2289"/>
      <c r="G323" s="2290"/>
      <c r="H323" s="2289"/>
      <c r="I323" s="2289"/>
      <c r="J323" s="2290"/>
      <c r="K323" s="2289"/>
      <c r="L323" s="2289"/>
      <c r="M323" s="2290"/>
      <c r="N323" s="2290"/>
      <c r="O323" s="2290"/>
      <c r="P323" s="2290"/>
      <c r="Q323" s="2289"/>
      <c r="R323" s="2289"/>
      <c r="S323" s="2289"/>
      <c r="T323" s="2291"/>
      <c r="U323" s="2289"/>
      <c r="V323" s="2289"/>
      <c r="W323" s="2289"/>
      <c r="X323" s="2292"/>
      <c r="Y323" s="2292"/>
      <c r="Z323" s="2289"/>
      <c r="AA323" s="2289"/>
      <c r="AB323" s="2289"/>
      <c r="AC323" s="2289"/>
      <c r="AD323" s="2293"/>
      <c r="AE323" s="2293"/>
      <c r="AF323" s="2293"/>
      <c r="AG323" s="2293"/>
      <c r="AH323" s="2289"/>
      <c r="AI323" s="2289"/>
      <c r="AJ323" s="2294"/>
      <c r="AK323" s="2294"/>
      <c r="AL323" s="2289"/>
      <c r="AM323" s="2289"/>
      <c r="AN323" s="2289"/>
      <c r="AO323" s="2289"/>
      <c r="AP323" s="2289"/>
      <c r="AQ323" s="2289"/>
      <c r="AR323" s="2294"/>
      <c r="AS323" s="2294"/>
      <c r="AT323" s="2295"/>
      <c r="AU323" s="2295"/>
      <c r="AV323" s="2295"/>
      <c r="AW323" s="2295"/>
      <c r="AX323" s="2296"/>
      <c r="AY323" s="2289"/>
      <c r="AZ323" s="2289"/>
      <c r="BA323" s="2289"/>
      <c r="BB323" s="2289"/>
      <c r="BC323" s="2289"/>
      <c r="BD323" s="2289"/>
      <c r="BE323" s="2289"/>
      <c r="BF323" s="2289"/>
      <c r="BG323" s="2289"/>
      <c r="BH323" s="2289"/>
      <c r="BI323" s="2289"/>
      <c r="BJ323" s="2289"/>
      <c r="BK323" s="2289"/>
      <c r="BL323" s="2289"/>
      <c r="BM323" s="2289"/>
      <c r="BN323" s="2289"/>
      <c r="BO323" s="2289"/>
      <c r="BP323" s="2289"/>
      <c r="BQ323" s="2289"/>
      <c r="BR323" s="2289"/>
    </row>
    <row r="324" spans="1:70" ht="15.75" customHeight="1">
      <c r="A324" s="2289"/>
      <c r="B324" s="2289"/>
      <c r="C324" s="2289"/>
      <c r="D324" s="2289"/>
      <c r="E324" s="2289"/>
      <c r="F324" s="2289"/>
      <c r="G324" s="2290"/>
      <c r="H324" s="2289"/>
      <c r="I324" s="2289"/>
      <c r="J324" s="2290"/>
      <c r="K324" s="2289"/>
      <c r="L324" s="2289"/>
      <c r="M324" s="2290"/>
      <c r="N324" s="2290"/>
      <c r="O324" s="2290"/>
      <c r="P324" s="2290"/>
      <c r="Q324" s="2289"/>
      <c r="R324" s="2289"/>
      <c r="S324" s="2289"/>
      <c r="T324" s="2291"/>
      <c r="U324" s="2289"/>
      <c r="V324" s="2289"/>
      <c r="W324" s="2289"/>
      <c r="X324" s="2292"/>
      <c r="Y324" s="2292"/>
      <c r="Z324" s="2289"/>
      <c r="AA324" s="2289"/>
      <c r="AB324" s="2289"/>
      <c r="AC324" s="2289"/>
      <c r="AD324" s="2293"/>
      <c r="AE324" s="2293"/>
      <c r="AF324" s="2293"/>
      <c r="AG324" s="2293"/>
      <c r="AH324" s="2289"/>
      <c r="AI324" s="2289"/>
      <c r="AJ324" s="2294"/>
      <c r="AK324" s="2294"/>
      <c r="AL324" s="2289"/>
      <c r="AM324" s="2289"/>
      <c r="AN324" s="2289"/>
      <c r="AO324" s="2289"/>
      <c r="AP324" s="2289"/>
      <c r="AQ324" s="2289"/>
      <c r="AR324" s="2294"/>
      <c r="AS324" s="2294"/>
      <c r="AT324" s="2295"/>
      <c r="AU324" s="2295"/>
      <c r="AV324" s="2295"/>
      <c r="AW324" s="2295"/>
      <c r="AX324" s="2296"/>
      <c r="AY324" s="2289"/>
      <c r="AZ324" s="2289"/>
      <c r="BA324" s="2289"/>
      <c r="BB324" s="2289"/>
      <c r="BC324" s="2289"/>
      <c r="BD324" s="2289"/>
      <c r="BE324" s="2289"/>
      <c r="BF324" s="2289"/>
      <c r="BG324" s="2289"/>
      <c r="BH324" s="2289"/>
      <c r="BI324" s="2289"/>
      <c r="BJ324" s="2289"/>
      <c r="BK324" s="2289"/>
      <c r="BL324" s="2289"/>
      <c r="BM324" s="2289"/>
      <c r="BN324" s="2289"/>
      <c r="BO324" s="2289"/>
      <c r="BP324" s="2289"/>
      <c r="BQ324" s="2289"/>
      <c r="BR324" s="2289"/>
    </row>
    <row r="325" spans="1:70" ht="15.75" customHeight="1">
      <c r="A325" s="2289"/>
      <c r="B325" s="2289"/>
      <c r="C325" s="2289"/>
      <c r="D325" s="2289"/>
      <c r="E325" s="2289"/>
      <c r="F325" s="2289"/>
      <c r="G325" s="2290"/>
      <c r="H325" s="2289"/>
      <c r="I325" s="2289"/>
      <c r="J325" s="2290"/>
      <c r="K325" s="2289"/>
      <c r="L325" s="2289"/>
      <c r="M325" s="2290"/>
      <c r="N325" s="2290"/>
      <c r="O325" s="2290"/>
      <c r="P325" s="2290"/>
      <c r="Q325" s="2289"/>
      <c r="R325" s="2289"/>
      <c r="S325" s="2289"/>
      <c r="T325" s="2291"/>
      <c r="U325" s="2289"/>
      <c r="V325" s="2289"/>
      <c r="W325" s="2289"/>
      <c r="X325" s="2292"/>
      <c r="Y325" s="2292"/>
      <c r="Z325" s="2289"/>
      <c r="AA325" s="2289"/>
      <c r="AB325" s="2289"/>
      <c r="AC325" s="2289"/>
      <c r="AD325" s="2293"/>
      <c r="AE325" s="2293"/>
      <c r="AF325" s="2293"/>
      <c r="AG325" s="2293"/>
      <c r="AH325" s="2289"/>
      <c r="AI325" s="2289"/>
      <c r="AJ325" s="2294"/>
      <c r="AK325" s="2294"/>
      <c r="AL325" s="2289"/>
      <c r="AM325" s="2289"/>
      <c r="AN325" s="2289"/>
      <c r="AO325" s="2289"/>
      <c r="AP325" s="2289"/>
      <c r="AQ325" s="2289"/>
      <c r="AR325" s="2294"/>
      <c r="AS325" s="2294"/>
      <c r="AT325" s="2295"/>
      <c r="AU325" s="2295"/>
      <c r="AV325" s="2295"/>
      <c r="AW325" s="2295"/>
      <c r="AX325" s="2296"/>
      <c r="AY325" s="2289"/>
      <c r="AZ325" s="2289"/>
      <c r="BA325" s="2289"/>
      <c r="BB325" s="2289"/>
      <c r="BC325" s="2289"/>
      <c r="BD325" s="2289"/>
      <c r="BE325" s="2289"/>
      <c r="BF325" s="2289"/>
      <c r="BG325" s="2289"/>
      <c r="BH325" s="2289"/>
      <c r="BI325" s="2289"/>
      <c r="BJ325" s="2289"/>
      <c r="BK325" s="2289"/>
      <c r="BL325" s="2289"/>
      <c r="BM325" s="2289"/>
      <c r="BN325" s="2289"/>
      <c r="BO325" s="2289"/>
      <c r="BP325" s="2289"/>
      <c r="BQ325" s="2289"/>
      <c r="BR325" s="2289"/>
    </row>
    <row r="326" spans="1:70" ht="15.75" customHeight="1">
      <c r="A326" s="2289"/>
      <c r="B326" s="2289"/>
      <c r="C326" s="2289"/>
      <c r="D326" s="2289"/>
      <c r="E326" s="2289"/>
      <c r="F326" s="2289"/>
      <c r="G326" s="2290"/>
      <c r="H326" s="2289"/>
      <c r="I326" s="2289"/>
      <c r="J326" s="2290"/>
      <c r="K326" s="2289"/>
      <c r="L326" s="2289"/>
      <c r="M326" s="2290"/>
      <c r="N326" s="2290"/>
      <c r="O326" s="2290"/>
      <c r="P326" s="2290"/>
      <c r="Q326" s="2289"/>
      <c r="R326" s="2289"/>
      <c r="S326" s="2289"/>
      <c r="T326" s="2291"/>
      <c r="U326" s="2289"/>
      <c r="V326" s="2289"/>
      <c r="W326" s="2289"/>
      <c r="X326" s="2292"/>
      <c r="Y326" s="2292"/>
      <c r="Z326" s="2289"/>
      <c r="AA326" s="2289"/>
      <c r="AB326" s="2289"/>
      <c r="AC326" s="2289"/>
      <c r="AD326" s="2293"/>
      <c r="AE326" s="2293"/>
      <c r="AF326" s="2293"/>
      <c r="AG326" s="2293"/>
      <c r="AH326" s="2289"/>
      <c r="AI326" s="2289"/>
      <c r="AJ326" s="2294"/>
      <c r="AK326" s="2294"/>
      <c r="AL326" s="2289"/>
      <c r="AM326" s="2289"/>
      <c r="AN326" s="2289"/>
      <c r="AO326" s="2289"/>
      <c r="AP326" s="2289"/>
      <c r="AQ326" s="2289"/>
      <c r="AR326" s="2294"/>
      <c r="AS326" s="2294"/>
      <c r="AT326" s="2295"/>
      <c r="AU326" s="2295"/>
      <c r="AV326" s="2295"/>
      <c r="AW326" s="2295"/>
      <c r="AX326" s="2296"/>
      <c r="AY326" s="2289"/>
      <c r="AZ326" s="2289"/>
      <c r="BA326" s="2289"/>
      <c r="BB326" s="2289"/>
      <c r="BC326" s="2289"/>
      <c r="BD326" s="2289"/>
      <c r="BE326" s="2289"/>
      <c r="BF326" s="2289"/>
      <c r="BG326" s="2289"/>
      <c r="BH326" s="2289"/>
      <c r="BI326" s="2289"/>
      <c r="BJ326" s="2289"/>
      <c r="BK326" s="2289"/>
      <c r="BL326" s="2289"/>
      <c r="BM326" s="2289"/>
      <c r="BN326" s="2289"/>
      <c r="BO326" s="2289"/>
      <c r="BP326" s="2289"/>
      <c r="BQ326" s="2289"/>
      <c r="BR326" s="2289"/>
    </row>
    <row r="327" spans="1:70" ht="15.75" customHeight="1">
      <c r="A327" s="2289"/>
      <c r="B327" s="2289"/>
      <c r="C327" s="2289"/>
      <c r="D327" s="2289"/>
      <c r="E327" s="2289"/>
      <c r="F327" s="2289"/>
      <c r="G327" s="2290"/>
      <c r="H327" s="2289"/>
      <c r="I327" s="2289"/>
      <c r="J327" s="2290"/>
      <c r="K327" s="2289"/>
      <c r="L327" s="2289"/>
      <c r="M327" s="2290"/>
      <c r="N327" s="2290"/>
      <c r="O327" s="2290"/>
      <c r="P327" s="2290"/>
      <c r="Q327" s="2289"/>
      <c r="R327" s="2289"/>
      <c r="S327" s="2289"/>
      <c r="T327" s="2291"/>
      <c r="U327" s="2289"/>
      <c r="V327" s="2289"/>
      <c r="W327" s="2289"/>
      <c r="X327" s="2292"/>
      <c r="Y327" s="2292"/>
      <c r="Z327" s="2289"/>
      <c r="AA327" s="2289"/>
      <c r="AB327" s="2289"/>
      <c r="AC327" s="2289"/>
      <c r="AD327" s="2293"/>
      <c r="AE327" s="2293"/>
      <c r="AF327" s="2293"/>
      <c r="AG327" s="2293"/>
      <c r="AH327" s="2289"/>
      <c r="AI327" s="2289"/>
      <c r="AJ327" s="2294"/>
      <c r="AK327" s="2294"/>
      <c r="AL327" s="2289"/>
      <c r="AM327" s="2289"/>
      <c r="AN327" s="2289"/>
      <c r="AO327" s="2289"/>
      <c r="AP327" s="2289"/>
      <c r="AQ327" s="2289"/>
      <c r="AR327" s="2294"/>
      <c r="AS327" s="2294"/>
      <c r="AT327" s="2295"/>
      <c r="AU327" s="2295"/>
      <c r="AV327" s="2295"/>
      <c r="AW327" s="2295"/>
      <c r="AX327" s="2296"/>
      <c r="AY327" s="2289"/>
      <c r="AZ327" s="2289"/>
      <c r="BA327" s="2289"/>
      <c r="BB327" s="2289"/>
      <c r="BC327" s="2289"/>
      <c r="BD327" s="2289"/>
      <c r="BE327" s="2289"/>
      <c r="BF327" s="2289"/>
      <c r="BG327" s="2289"/>
      <c r="BH327" s="2289"/>
      <c r="BI327" s="2289"/>
      <c r="BJ327" s="2289"/>
      <c r="BK327" s="2289"/>
      <c r="BL327" s="2289"/>
      <c r="BM327" s="2289"/>
      <c r="BN327" s="2289"/>
      <c r="BO327" s="2289"/>
      <c r="BP327" s="2289"/>
      <c r="BQ327" s="2289"/>
      <c r="BR327" s="2289"/>
    </row>
    <row r="328" spans="1:70" ht="15.75" customHeight="1">
      <c r="A328" s="2289"/>
      <c r="B328" s="2289"/>
      <c r="C328" s="2289"/>
      <c r="D328" s="2289"/>
      <c r="E328" s="2289"/>
      <c r="F328" s="2289"/>
      <c r="G328" s="2290"/>
      <c r="H328" s="2289"/>
      <c r="I328" s="2289"/>
      <c r="J328" s="2290"/>
      <c r="K328" s="2289"/>
      <c r="L328" s="2289"/>
      <c r="M328" s="2290"/>
      <c r="N328" s="2290"/>
      <c r="O328" s="2290"/>
      <c r="P328" s="2290"/>
      <c r="Q328" s="2289"/>
      <c r="R328" s="2289"/>
      <c r="S328" s="2289"/>
      <c r="T328" s="2291"/>
      <c r="U328" s="2289"/>
      <c r="V328" s="2289"/>
      <c r="W328" s="2289"/>
      <c r="X328" s="2292"/>
      <c r="Y328" s="2292"/>
      <c r="Z328" s="2289"/>
      <c r="AA328" s="2289"/>
      <c r="AB328" s="2289"/>
      <c r="AC328" s="2289"/>
      <c r="AD328" s="2293"/>
      <c r="AE328" s="2293"/>
      <c r="AF328" s="2293"/>
      <c r="AG328" s="2293"/>
      <c r="AH328" s="2289"/>
      <c r="AI328" s="2289"/>
      <c r="AJ328" s="2294"/>
      <c r="AK328" s="2294"/>
      <c r="AL328" s="2289"/>
      <c r="AM328" s="2289"/>
      <c r="AN328" s="2289"/>
      <c r="AO328" s="2289"/>
      <c r="AP328" s="2289"/>
      <c r="AQ328" s="2289"/>
      <c r="AR328" s="2294"/>
      <c r="AS328" s="2294"/>
      <c r="AT328" s="2295"/>
      <c r="AU328" s="2295"/>
      <c r="AV328" s="2295"/>
      <c r="AW328" s="2295"/>
      <c r="AX328" s="2296"/>
      <c r="AY328" s="2289"/>
      <c r="AZ328" s="2289"/>
      <c r="BA328" s="2289"/>
      <c r="BB328" s="2289"/>
      <c r="BC328" s="2289"/>
      <c r="BD328" s="2289"/>
      <c r="BE328" s="2289"/>
      <c r="BF328" s="2289"/>
      <c r="BG328" s="2289"/>
      <c r="BH328" s="2289"/>
      <c r="BI328" s="2289"/>
      <c r="BJ328" s="2289"/>
      <c r="BK328" s="2289"/>
      <c r="BL328" s="2289"/>
      <c r="BM328" s="2289"/>
      <c r="BN328" s="2289"/>
      <c r="BO328" s="2289"/>
      <c r="BP328" s="2289"/>
      <c r="BQ328" s="2289"/>
      <c r="BR328" s="2289"/>
    </row>
    <row r="329" spans="1:70" ht="15.75" customHeight="1">
      <c r="A329" s="2289"/>
      <c r="B329" s="2289"/>
      <c r="C329" s="2289"/>
      <c r="D329" s="2289"/>
      <c r="E329" s="2289"/>
      <c r="F329" s="2289"/>
      <c r="G329" s="2290"/>
      <c r="H329" s="2289"/>
      <c r="I329" s="2289"/>
      <c r="J329" s="2290"/>
      <c r="K329" s="2289"/>
      <c r="L329" s="2289"/>
      <c r="M329" s="2290"/>
      <c r="N329" s="2290"/>
      <c r="O329" s="2290"/>
      <c r="P329" s="2290"/>
      <c r="Q329" s="2289"/>
      <c r="R329" s="2289"/>
      <c r="S329" s="2289"/>
      <c r="T329" s="2291"/>
      <c r="U329" s="2289"/>
      <c r="V329" s="2289"/>
      <c r="W329" s="2289"/>
      <c r="X329" s="2292"/>
      <c r="Y329" s="2292"/>
      <c r="Z329" s="2289"/>
      <c r="AA329" s="2289"/>
      <c r="AB329" s="2289"/>
      <c r="AC329" s="2289"/>
      <c r="AD329" s="2293"/>
      <c r="AE329" s="2293"/>
      <c r="AF329" s="2293"/>
      <c r="AG329" s="2293"/>
      <c r="AH329" s="2289"/>
      <c r="AI329" s="2289"/>
      <c r="AJ329" s="2294"/>
      <c r="AK329" s="2294"/>
      <c r="AL329" s="2289"/>
      <c r="AM329" s="2289"/>
      <c r="AN329" s="2289"/>
      <c r="AO329" s="2289"/>
      <c r="AP329" s="2289"/>
      <c r="AQ329" s="2289"/>
      <c r="AR329" s="2294"/>
      <c r="AS329" s="2294"/>
      <c r="AT329" s="2295"/>
      <c r="AU329" s="2295"/>
      <c r="AV329" s="2295"/>
      <c r="AW329" s="2295"/>
      <c r="AX329" s="2296"/>
      <c r="AY329" s="2289"/>
      <c r="AZ329" s="2289"/>
      <c r="BA329" s="2289"/>
      <c r="BB329" s="2289"/>
      <c r="BC329" s="2289"/>
      <c r="BD329" s="2289"/>
      <c r="BE329" s="2289"/>
      <c r="BF329" s="2289"/>
      <c r="BG329" s="2289"/>
      <c r="BH329" s="2289"/>
      <c r="BI329" s="2289"/>
      <c r="BJ329" s="2289"/>
      <c r="BK329" s="2289"/>
      <c r="BL329" s="2289"/>
      <c r="BM329" s="2289"/>
      <c r="BN329" s="2289"/>
      <c r="BO329" s="2289"/>
      <c r="BP329" s="2289"/>
      <c r="BQ329" s="2289"/>
      <c r="BR329" s="2289"/>
    </row>
    <row r="330" spans="1:70" ht="15.75" customHeight="1">
      <c r="A330" s="2289"/>
      <c r="B330" s="2289"/>
      <c r="C330" s="2289"/>
      <c r="D330" s="2289"/>
      <c r="E330" s="2289"/>
      <c r="F330" s="2289"/>
      <c r="G330" s="2290"/>
      <c r="H330" s="2289"/>
      <c r="I330" s="2289"/>
      <c r="J330" s="2290"/>
      <c r="K330" s="2289"/>
      <c r="L330" s="2289"/>
      <c r="M330" s="2290"/>
      <c r="N330" s="2290"/>
      <c r="O330" s="2290"/>
      <c r="P330" s="2290"/>
      <c r="Q330" s="2289"/>
      <c r="R330" s="2289"/>
      <c r="S330" s="2289"/>
      <c r="T330" s="2291"/>
      <c r="U330" s="2289"/>
      <c r="V330" s="2289"/>
      <c r="W330" s="2289"/>
      <c r="X330" s="2292"/>
      <c r="Y330" s="2292"/>
      <c r="Z330" s="2289"/>
      <c r="AA330" s="2289"/>
      <c r="AB330" s="2289"/>
      <c r="AC330" s="2289"/>
      <c r="AD330" s="2293"/>
      <c r="AE330" s="2293"/>
      <c r="AF330" s="2293"/>
      <c r="AG330" s="2293"/>
      <c r="AH330" s="2289"/>
      <c r="AI330" s="2289"/>
      <c r="AJ330" s="2294"/>
      <c r="AK330" s="2294"/>
      <c r="AL330" s="2289"/>
      <c r="AM330" s="2289"/>
      <c r="AN330" s="2289"/>
      <c r="AO330" s="2289"/>
      <c r="AP330" s="2289"/>
      <c r="AQ330" s="2289"/>
      <c r="AR330" s="2294"/>
      <c r="AS330" s="2294"/>
      <c r="AT330" s="2295"/>
      <c r="AU330" s="2295"/>
      <c r="AV330" s="2295"/>
      <c r="AW330" s="2295"/>
      <c r="AX330" s="2296"/>
      <c r="AY330" s="2289"/>
      <c r="AZ330" s="2289"/>
      <c r="BA330" s="2289"/>
      <c r="BB330" s="2289"/>
      <c r="BC330" s="2289"/>
      <c r="BD330" s="2289"/>
      <c r="BE330" s="2289"/>
      <c r="BF330" s="2289"/>
      <c r="BG330" s="2289"/>
      <c r="BH330" s="2289"/>
      <c r="BI330" s="2289"/>
      <c r="BJ330" s="2289"/>
      <c r="BK330" s="2289"/>
      <c r="BL330" s="2289"/>
      <c r="BM330" s="2289"/>
      <c r="BN330" s="2289"/>
      <c r="BO330" s="2289"/>
      <c r="BP330" s="2289"/>
      <c r="BQ330" s="2289"/>
      <c r="BR330" s="2289"/>
    </row>
    <row r="331" spans="1:70" ht="15.75" customHeight="1">
      <c r="A331" s="2289"/>
      <c r="B331" s="2289"/>
      <c r="C331" s="2289"/>
      <c r="D331" s="2289"/>
      <c r="E331" s="2289"/>
      <c r="F331" s="2289"/>
      <c r="G331" s="2290"/>
      <c r="H331" s="2289"/>
      <c r="I331" s="2289"/>
      <c r="J331" s="2290"/>
      <c r="K331" s="2289"/>
      <c r="L331" s="2289"/>
      <c r="M331" s="2290"/>
      <c r="N331" s="2290"/>
      <c r="O331" s="2290"/>
      <c r="P331" s="2290"/>
      <c r="Q331" s="2289"/>
      <c r="R331" s="2289"/>
      <c r="S331" s="2289"/>
      <c r="T331" s="2291"/>
      <c r="U331" s="2289"/>
      <c r="V331" s="2289"/>
      <c r="W331" s="2289"/>
      <c r="X331" s="2292"/>
      <c r="Y331" s="2292"/>
      <c r="Z331" s="2289"/>
      <c r="AA331" s="2289"/>
      <c r="AB331" s="2289"/>
      <c r="AC331" s="2289"/>
      <c r="AD331" s="2293"/>
      <c r="AE331" s="2293"/>
      <c r="AF331" s="2293"/>
      <c r="AG331" s="2293"/>
      <c r="AH331" s="2289"/>
      <c r="AI331" s="2289"/>
      <c r="AJ331" s="2294"/>
      <c r="AK331" s="2294"/>
      <c r="AL331" s="2289"/>
      <c r="AM331" s="2289"/>
      <c r="AN331" s="2289"/>
      <c r="AO331" s="2289"/>
      <c r="AP331" s="2289"/>
      <c r="AQ331" s="2289"/>
      <c r="AR331" s="2294"/>
      <c r="AS331" s="2294"/>
      <c r="AT331" s="2295"/>
      <c r="AU331" s="2295"/>
      <c r="AV331" s="2295"/>
      <c r="AW331" s="2295"/>
      <c r="AX331" s="2296"/>
      <c r="AY331" s="2289"/>
      <c r="AZ331" s="2289"/>
      <c r="BA331" s="2289"/>
      <c r="BB331" s="2289"/>
      <c r="BC331" s="2289"/>
      <c r="BD331" s="2289"/>
      <c r="BE331" s="2289"/>
      <c r="BF331" s="2289"/>
      <c r="BG331" s="2289"/>
      <c r="BH331" s="2289"/>
      <c r="BI331" s="2289"/>
      <c r="BJ331" s="2289"/>
      <c r="BK331" s="2289"/>
      <c r="BL331" s="2289"/>
      <c r="BM331" s="2289"/>
      <c r="BN331" s="2289"/>
      <c r="BO331" s="2289"/>
      <c r="BP331" s="2289"/>
      <c r="BQ331" s="2289"/>
      <c r="BR331" s="2289"/>
    </row>
    <row r="332" spans="1:70" ht="15.75" customHeight="1">
      <c r="A332" s="2289"/>
      <c r="B332" s="2289"/>
      <c r="C332" s="2289"/>
      <c r="D332" s="2289"/>
      <c r="E332" s="2289"/>
      <c r="F332" s="2289"/>
      <c r="G332" s="2290"/>
      <c r="H332" s="2289"/>
      <c r="I332" s="2289"/>
      <c r="J332" s="2290"/>
      <c r="K332" s="2289"/>
      <c r="L332" s="2289"/>
      <c r="M332" s="2290"/>
      <c r="N332" s="2290"/>
      <c r="O332" s="2290"/>
      <c r="P332" s="2290"/>
      <c r="Q332" s="2289"/>
      <c r="R332" s="2289"/>
      <c r="S332" s="2289"/>
      <c r="T332" s="2291"/>
      <c r="U332" s="2289"/>
      <c r="V332" s="2289"/>
      <c r="W332" s="2289"/>
      <c r="X332" s="2292"/>
      <c r="Y332" s="2292"/>
      <c r="Z332" s="2289"/>
      <c r="AA332" s="2289"/>
      <c r="AB332" s="2289"/>
      <c r="AC332" s="2289"/>
      <c r="AD332" s="2293"/>
      <c r="AE332" s="2293"/>
      <c r="AF332" s="2293"/>
      <c r="AG332" s="2293"/>
      <c r="AH332" s="2289"/>
      <c r="AI332" s="2289"/>
      <c r="AJ332" s="2294"/>
      <c r="AK332" s="2294"/>
      <c r="AL332" s="2289"/>
      <c r="AM332" s="2289"/>
      <c r="AN332" s="2289"/>
      <c r="AO332" s="2289"/>
      <c r="AP332" s="2289"/>
      <c r="AQ332" s="2289"/>
      <c r="AR332" s="2294"/>
      <c r="AS332" s="2294"/>
      <c r="AT332" s="2295"/>
      <c r="AU332" s="2295"/>
      <c r="AV332" s="2295"/>
      <c r="AW332" s="2295"/>
      <c r="AX332" s="2296"/>
      <c r="AY332" s="2289"/>
      <c r="AZ332" s="2289"/>
      <c r="BA332" s="2289"/>
      <c r="BB332" s="2289"/>
      <c r="BC332" s="2289"/>
      <c r="BD332" s="2289"/>
      <c r="BE332" s="2289"/>
      <c r="BF332" s="2289"/>
      <c r="BG332" s="2289"/>
      <c r="BH332" s="2289"/>
      <c r="BI332" s="2289"/>
      <c r="BJ332" s="2289"/>
      <c r="BK332" s="2289"/>
      <c r="BL332" s="2289"/>
      <c r="BM332" s="2289"/>
      <c r="BN332" s="2289"/>
      <c r="BO332" s="2289"/>
      <c r="BP332" s="2289"/>
      <c r="BQ332" s="2289"/>
      <c r="BR332" s="2289"/>
    </row>
    <row r="333" spans="1:70" ht="15.75" customHeight="1">
      <c r="A333" s="2289"/>
      <c r="B333" s="2289"/>
      <c r="C333" s="2289"/>
      <c r="D333" s="2289"/>
      <c r="E333" s="2289"/>
      <c r="F333" s="2289"/>
      <c r="G333" s="2290"/>
      <c r="H333" s="2289"/>
      <c r="I333" s="2289"/>
      <c r="J333" s="2290"/>
      <c r="K333" s="2289"/>
      <c r="L333" s="2289"/>
      <c r="M333" s="2290"/>
      <c r="N333" s="2290"/>
      <c r="O333" s="2290"/>
      <c r="P333" s="2290"/>
      <c r="Q333" s="2289"/>
      <c r="R333" s="2289"/>
      <c r="S333" s="2289"/>
      <c r="T333" s="2291"/>
      <c r="U333" s="2289"/>
      <c r="V333" s="2289"/>
      <c r="W333" s="2289"/>
      <c r="X333" s="2292"/>
      <c r="Y333" s="2292"/>
      <c r="Z333" s="2289"/>
      <c r="AA333" s="2289"/>
      <c r="AB333" s="2289"/>
      <c r="AC333" s="2289"/>
      <c r="AD333" s="2293"/>
      <c r="AE333" s="2293"/>
      <c r="AF333" s="2293"/>
      <c r="AG333" s="2293"/>
      <c r="AH333" s="2289"/>
      <c r="AI333" s="2289"/>
      <c r="AJ333" s="2294"/>
      <c r="AK333" s="2294"/>
      <c r="AL333" s="2289"/>
      <c r="AM333" s="2289"/>
      <c r="AN333" s="2289"/>
      <c r="AO333" s="2289"/>
      <c r="AP333" s="2289"/>
      <c r="AQ333" s="2289"/>
      <c r="AR333" s="2294"/>
      <c r="AS333" s="2294"/>
      <c r="AT333" s="2295"/>
      <c r="AU333" s="2295"/>
      <c r="AV333" s="2295"/>
      <c r="AW333" s="2295"/>
      <c r="AX333" s="2296"/>
      <c r="AY333" s="2289"/>
      <c r="AZ333" s="2289"/>
      <c r="BA333" s="2289"/>
      <c r="BB333" s="2289"/>
      <c r="BC333" s="2289"/>
      <c r="BD333" s="2289"/>
      <c r="BE333" s="2289"/>
      <c r="BF333" s="2289"/>
      <c r="BG333" s="2289"/>
      <c r="BH333" s="2289"/>
      <c r="BI333" s="2289"/>
      <c r="BJ333" s="2289"/>
      <c r="BK333" s="2289"/>
      <c r="BL333" s="2289"/>
      <c r="BM333" s="2289"/>
      <c r="BN333" s="2289"/>
      <c r="BO333" s="2289"/>
      <c r="BP333" s="2289"/>
      <c r="BQ333" s="2289"/>
      <c r="BR333" s="2289"/>
    </row>
    <row r="334" spans="1:70" ht="15.75" customHeight="1">
      <c r="A334" s="2289"/>
      <c r="B334" s="2289"/>
      <c r="C334" s="2289"/>
      <c r="D334" s="2289"/>
      <c r="E334" s="2289"/>
      <c r="F334" s="2289"/>
      <c r="G334" s="2290"/>
      <c r="H334" s="2289"/>
      <c r="I334" s="2289"/>
      <c r="J334" s="2290"/>
      <c r="K334" s="2289"/>
      <c r="L334" s="2289"/>
      <c r="M334" s="2290"/>
      <c r="N334" s="2290"/>
      <c r="O334" s="2290"/>
      <c r="P334" s="2290"/>
      <c r="Q334" s="2289"/>
      <c r="R334" s="2289"/>
      <c r="S334" s="2289"/>
      <c r="T334" s="2291"/>
      <c r="U334" s="2289"/>
      <c r="V334" s="2289"/>
      <c r="W334" s="2289"/>
      <c r="X334" s="2292"/>
      <c r="Y334" s="2292"/>
      <c r="Z334" s="2289"/>
      <c r="AA334" s="2289"/>
      <c r="AB334" s="2289"/>
      <c r="AC334" s="2289"/>
      <c r="AD334" s="2293"/>
      <c r="AE334" s="2293"/>
      <c r="AF334" s="2293"/>
      <c r="AG334" s="2293"/>
      <c r="AH334" s="2289"/>
      <c r="AI334" s="2289"/>
      <c r="AJ334" s="2294"/>
      <c r="AK334" s="2294"/>
      <c r="AL334" s="2289"/>
      <c r="AM334" s="2289"/>
      <c r="AN334" s="2289"/>
      <c r="AO334" s="2289"/>
      <c r="AP334" s="2289"/>
      <c r="AQ334" s="2289"/>
      <c r="AR334" s="2294"/>
      <c r="AS334" s="2294"/>
      <c r="AT334" s="2295"/>
      <c r="AU334" s="2295"/>
      <c r="AV334" s="2295"/>
      <c r="AW334" s="2295"/>
      <c r="AX334" s="2296"/>
      <c r="AY334" s="2289"/>
      <c r="AZ334" s="2289"/>
      <c r="BA334" s="2289"/>
      <c r="BB334" s="2289"/>
      <c r="BC334" s="2289"/>
      <c r="BD334" s="2289"/>
      <c r="BE334" s="2289"/>
      <c r="BF334" s="2289"/>
      <c r="BG334" s="2289"/>
      <c r="BH334" s="2289"/>
      <c r="BI334" s="2289"/>
      <c r="BJ334" s="2289"/>
      <c r="BK334" s="2289"/>
      <c r="BL334" s="2289"/>
      <c r="BM334" s="2289"/>
      <c r="BN334" s="2289"/>
      <c r="BO334" s="2289"/>
      <c r="BP334" s="2289"/>
      <c r="BQ334" s="2289"/>
      <c r="BR334" s="2289"/>
    </row>
    <row r="335" spans="1:70" ht="15.75" customHeight="1">
      <c r="A335" s="2289"/>
      <c r="B335" s="2289"/>
      <c r="C335" s="2289"/>
      <c r="D335" s="2289"/>
      <c r="E335" s="2289"/>
      <c r="F335" s="2289"/>
      <c r="G335" s="2290"/>
      <c r="H335" s="2289"/>
      <c r="I335" s="2289"/>
      <c r="J335" s="2290"/>
      <c r="K335" s="2289"/>
      <c r="L335" s="2289"/>
      <c r="M335" s="2290"/>
      <c r="N335" s="2290"/>
      <c r="O335" s="2290"/>
      <c r="P335" s="2290"/>
      <c r="Q335" s="2289"/>
      <c r="R335" s="2289"/>
      <c r="S335" s="2289"/>
      <c r="T335" s="2291"/>
      <c r="U335" s="2289"/>
      <c r="V335" s="2289"/>
      <c r="W335" s="2289"/>
      <c r="X335" s="2292"/>
      <c r="Y335" s="2292"/>
      <c r="Z335" s="2289"/>
      <c r="AA335" s="2289"/>
      <c r="AB335" s="2289"/>
      <c r="AC335" s="2289"/>
      <c r="AD335" s="2293"/>
      <c r="AE335" s="2293"/>
      <c r="AF335" s="2293"/>
      <c r="AG335" s="2293"/>
      <c r="AH335" s="2289"/>
      <c r="AI335" s="2289"/>
      <c r="AJ335" s="2294"/>
      <c r="AK335" s="2294"/>
      <c r="AL335" s="2289"/>
      <c r="AM335" s="2289"/>
      <c r="AN335" s="2289"/>
      <c r="AO335" s="2289"/>
      <c r="AP335" s="2289"/>
      <c r="AQ335" s="2289"/>
      <c r="AR335" s="2294"/>
      <c r="AS335" s="2294"/>
      <c r="AT335" s="2295"/>
      <c r="AU335" s="2295"/>
      <c r="AV335" s="2295"/>
      <c r="AW335" s="2295"/>
      <c r="AX335" s="2296"/>
      <c r="AY335" s="2289"/>
      <c r="AZ335" s="2289"/>
      <c r="BA335" s="2289"/>
      <c r="BB335" s="2289"/>
      <c r="BC335" s="2289"/>
      <c r="BD335" s="2289"/>
      <c r="BE335" s="2289"/>
      <c r="BF335" s="2289"/>
      <c r="BG335" s="2289"/>
      <c r="BH335" s="2289"/>
      <c r="BI335" s="2289"/>
      <c r="BJ335" s="2289"/>
      <c r="BK335" s="2289"/>
      <c r="BL335" s="2289"/>
      <c r="BM335" s="2289"/>
      <c r="BN335" s="2289"/>
      <c r="BO335" s="2289"/>
      <c r="BP335" s="2289"/>
      <c r="BQ335" s="2289"/>
      <c r="BR335" s="2289"/>
    </row>
    <row r="336" spans="1:70" ht="15.75" customHeight="1">
      <c r="A336" s="2289"/>
      <c r="B336" s="2289"/>
      <c r="C336" s="2289"/>
      <c r="D336" s="2289"/>
      <c r="E336" s="2289"/>
      <c r="F336" s="2289"/>
      <c r="G336" s="2290"/>
      <c r="H336" s="2289"/>
      <c r="I336" s="2289"/>
      <c r="J336" s="2290"/>
      <c r="K336" s="2289"/>
      <c r="L336" s="2289"/>
      <c r="M336" s="2290"/>
      <c r="N336" s="2290"/>
      <c r="O336" s="2290"/>
      <c r="P336" s="2290"/>
      <c r="Q336" s="2289"/>
      <c r="R336" s="2289"/>
      <c r="S336" s="2289"/>
      <c r="T336" s="2291"/>
      <c r="U336" s="2289"/>
      <c r="V336" s="2289"/>
      <c r="W336" s="2289"/>
      <c r="X336" s="2292"/>
      <c r="Y336" s="2292"/>
      <c r="Z336" s="2289"/>
      <c r="AA336" s="2289"/>
      <c r="AB336" s="2289"/>
      <c r="AC336" s="2289"/>
      <c r="AD336" s="2293"/>
      <c r="AE336" s="2293"/>
      <c r="AF336" s="2293"/>
      <c r="AG336" s="2293"/>
      <c r="AH336" s="2289"/>
      <c r="AI336" s="2289"/>
      <c r="AJ336" s="2294"/>
      <c r="AK336" s="2294"/>
      <c r="AL336" s="2289"/>
      <c r="AM336" s="2289"/>
      <c r="AN336" s="2289"/>
      <c r="AO336" s="2289"/>
      <c r="AP336" s="2289"/>
      <c r="AQ336" s="2289"/>
      <c r="AR336" s="2294"/>
      <c r="AS336" s="2294"/>
      <c r="AT336" s="2295"/>
      <c r="AU336" s="2295"/>
      <c r="AV336" s="2295"/>
      <c r="AW336" s="2295"/>
      <c r="AX336" s="2296"/>
      <c r="AY336" s="2289"/>
      <c r="AZ336" s="2289"/>
      <c r="BA336" s="2289"/>
      <c r="BB336" s="2289"/>
      <c r="BC336" s="2289"/>
      <c r="BD336" s="2289"/>
      <c r="BE336" s="2289"/>
      <c r="BF336" s="2289"/>
      <c r="BG336" s="2289"/>
      <c r="BH336" s="2289"/>
      <c r="BI336" s="2289"/>
      <c r="BJ336" s="2289"/>
      <c r="BK336" s="2289"/>
      <c r="BL336" s="2289"/>
      <c r="BM336" s="2289"/>
      <c r="BN336" s="2289"/>
      <c r="BO336" s="2289"/>
      <c r="BP336" s="2289"/>
      <c r="BQ336" s="2289"/>
      <c r="BR336" s="2289"/>
    </row>
    <row r="337" spans="1:70" ht="15.75" customHeight="1">
      <c r="A337" s="2289"/>
      <c r="B337" s="2289"/>
      <c r="C337" s="2289"/>
      <c r="D337" s="2289"/>
      <c r="E337" s="2289"/>
      <c r="F337" s="2289"/>
      <c r="G337" s="2290"/>
      <c r="H337" s="2289"/>
      <c r="I337" s="2289"/>
      <c r="J337" s="2290"/>
      <c r="K337" s="2289"/>
      <c r="L337" s="2289"/>
      <c r="M337" s="2290"/>
      <c r="N337" s="2290"/>
      <c r="O337" s="2290"/>
      <c r="P337" s="2290"/>
      <c r="Q337" s="2289"/>
      <c r="R337" s="2289"/>
      <c r="S337" s="2289"/>
      <c r="T337" s="2291"/>
      <c r="U337" s="2289"/>
      <c r="V337" s="2289"/>
      <c r="W337" s="2289"/>
      <c r="X337" s="2292"/>
      <c r="Y337" s="2292"/>
      <c r="Z337" s="2289"/>
      <c r="AA337" s="2289"/>
      <c r="AB337" s="2289"/>
      <c r="AC337" s="2289"/>
      <c r="AD337" s="2293"/>
      <c r="AE337" s="2293"/>
      <c r="AF337" s="2293"/>
      <c r="AG337" s="2293"/>
      <c r="AH337" s="2289"/>
      <c r="AI337" s="2289"/>
      <c r="AJ337" s="2294"/>
      <c r="AK337" s="2294"/>
      <c r="AL337" s="2289"/>
      <c r="AM337" s="2289"/>
      <c r="AN337" s="2289"/>
      <c r="AO337" s="2289"/>
      <c r="AP337" s="2289"/>
      <c r="AQ337" s="2289"/>
      <c r="AR337" s="2294"/>
      <c r="AS337" s="2294"/>
      <c r="AT337" s="2295"/>
      <c r="AU337" s="2295"/>
      <c r="AV337" s="2295"/>
      <c r="AW337" s="2295"/>
      <c r="AX337" s="2296"/>
      <c r="AY337" s="2289"/>
      <c r="AZ337" s="2289"/>
      <c r="BA337" s="2289"/>
      <c r="BB337" s="2289"/>
      <c r="BC337" s="2289"/>
      <c r="BD337" s="2289"/>
      <c r="BE337" s="2289"/>
      <c r="BF337" s="2289"/>
      <c r="BG337" s="2289"/>
      <c r="BH337" s="2289"/>
      <c r="BI337" s="2289"/>
      <c r="BJ337" s="2289"/>
      <c r="BK337" s="2289"/>
      <c r="BL337" s="2289"/>
      <c r="BM337" s="2289"/>
      <c r="BN337" s="2289"/>
      <c r="BO337" s="2289"/>
      <c r="BP337" s="2289"/>
      <c r="BQ337" s="2289"/>
      <c r="BR337" s="2289"/>
    </row>
    <row r="338" spans="1:70" ht="15.75" customHeight="1">
      <c r="A338" s="2289"/>
      <c r="B338" s="2289"/>
      <c r="C338" s="2289"/>
      <c r="D338" s="2289"/>
      <c r="E338" s="2289"/>
      <c r="F338" s="2289"/>
      <c r="G338" s="2290"/>
      <c r="H338" s="2289"/>
      <c r="I338" s="2289"/>
      <c r="J338" s="2290"/>
      <c r="K338" s="2289"/>
      <c r="L338" s="2289"/>
      <c r="M338" s="2290"/>
      <c r="N338" s="2290"/>
      <c r="O338" s="2290"/>
      <c r="P338" s="2290"/>
      <c r="Q338" s="2289"/>
      <c r="R338" s="2289"/>
      <c r="S338" s="2289"/>
      <c r="T338" s="2291"/>
      <c r="U338" s="2289"/>
      <c r="V338" s="2289"/>
      <c r="W338" s="2289"/>
      <c r="X338" s="2292"/>
      <c r="Y338" s="2292"/>
      <c r="Z338" s="2289"/>
      <c r="AA338" s="2289"/>
      <c r="AB338" s="2289"/>
      <c r="AC338" s="2289"/>
      <c r="AD338" s="2293"/>
      <c r="AE338" s="2293"/>
      <c r="AF338" s="2293"/>
      <c r="AG338" s="2293"/>
      <c r="AH338" s="2289"/>
      <c r="AI338" s="2289"/>
      <c r="AJ338" s="2294"/>
      <c r="AK338" s="2294"/>
      <c r="AL338" s="2289"/>
      <c r="AM338" s="2289"/>
      <c r="AN338" s="2289"/>
      <c r="AO338" s="2289"/>
      <c r="AP338" s="2289"/>
      <c r="AQ338" s="2289"/>
      <c r="AR338" s="2294"/>
      <c r="AS338" s="2294"/>
      <c r="AT338" s="2295"/>
      <c r="AU338" s="2295"/>
      <c r="AV338" s="2295"/>
      <c r="AW338" s="2295"/>
      <c r="AX338" s="2296"/>
      <c r="AY338" s="2289"/>
      <c r="AZ338" s="2289"/>
      <c r="BA338" s="2289"/>
      <c r="BB338" s="2289"/>
      <c r="BC338" s="2289"/>
      <c r="BD338" s="2289"/>
      <c r="BE338" s="2289"/>
      <c r="BF338" s="2289"/>
      <c r="BG338" s="2289"/>
      <c r="BH338" s="2289"/>
      <c r="BI338" s="2289"/>
      <c r="BJ338" s="2289"/>
      <c r="BK338" s="2289"/>
      <c r="BL338" s="2289"/>
      <c r="BM338" s="2289"/>
      <c r="BN338" s="2289"/>
      <c r="BO338" s="2289"/>
      <c r="BP338" s="2289"/>
      <c r="BQ338" s="2289"/>
      <c r="BR338" s="2289"/>
    </row>
    <row r="339" spans="1:70" ht="15.75" customHeight="1">
      <c r="A339" s="2289"/>
      <c r="B339" s="2289"/>
      <c r="C339" s="2289"/>
      <c r="D339" s="2289"/>
      <c r="E339" s="2289"/>
      <c r="F339" s="2289"/>
      <c r="G339" s="2290"/>
      <c r="H339" s="2289"/>
      <c r="I339" s="2289"/>
      <c r="J339" s="2290"/>
      <c r="K339" s="2289"/>
      <c r="L339" s="2289"/>
      <c r="M339" s="2290"/>
      <c r="N339" s="2290"/>
      <c r="O339" s="2290"/>
      <c r="P339" s="2290"/>
      <c r="Q339" s="2289"/>
      <c r="R339" s="2289"/>
      <c r="S339" s="2289"/>
      <c r="T339" s="2291"/>
      <c r="U339" s="2289"/>
      <c r="V339" s="2289"/>
      <c r="W339" s="2289"/>
      <c r="X339" s="2292"/>
      <c r="Y339" s="2292"/>
      <c r="Z339" s="2289"/>
      <c r="AA339" s="2289"/>
      <c r="AB339" s="2289"/>
      <c r="AC339" s="2289"/>
      <c r="AD339" s="2293"/>
      <c r="AE339" s="2293"/>
      <c r="AF339" s="2293"/>
      <c r="AG339" s="2293"/>
      <c r="AH339" s="2289"/>
      <c r="AI339" s="2289"/>
      <c r="AJ339" s="2294"/>
      <c r="AK339" s="2294"/>
      <c r="AL339" s="2289"/>
      <c r="AM339" s="2289"/>
      <c r="AN339" s="2289"/>
      <c r="AO339" s="2289"/>
      <c r="AP339" s="2289"/>
      <c r="AQ339" s="2289"/>
      <c r="AR339" s="2294"/>
      <c r="AS339" s="2294"/>
      <c r="AT339" s="2295"/>
      <c r="AU339" s="2295"/>
      <c r="AV339" s="2295"/>
      <c r="AW339" s="2295"/>
      <c r="AX339" s="2296"/>
      <c r="AY339" s="2289"/>
      <c r="AZ339" s="2289"/>
      <c r="BA339" s="2289"/>
      <c r="BB339" s="2289"/>
      <c r="BC339" s="2289"/>
      <c r="BD339" s="2289"/>
      <c r="BE339" s="2289"/>
      <c r="BF339" s="2289"/>
      <c r="BG339" s="2289"/>
      <c r="BH339" s="2289"/>
      <c r="BI339" s="2289"/>
      <c r="BJ339" s="2289"/>
      <c r="BK339" s="2289"/>
      <c r="BL339" s="2289"/>
      <c r="BM339" s="2289"/>
      <c r="BN339" s="2289"/>
      <c r="BO339" s="2289"/>
      <c r="BP339" s="2289"/>
      <c r="BQ339" s="2289"/>
      <c r="BR339" s="2289"/>
    </row>
    <row r="340" spans="1:70" ht="15.75" customHeight="1">
      <c r="A340" s="2289"/>
      <c r="B340" s="2289"/>
      <c r="C340" s="2289"/>
      <c r="D340" s="2289"/>
      <c r="E340" s="2289"/>
      <c r="F340" s="2289"/>
      <c r="G340" s="2290"/>
      <c r="H340" s="2289"/>
      <c r="I340" s="2289"/>
      <c r="J340" s="2290"/>
      <c r="K340" s="2289"/>
      <c r="L340" s="2289"/>
      <c r="M340" s="2290"/>
      <c r="N340" s="2290"/>
      <c r="O340" s="2290"/>
      <c r="P340" s="2290"/>
      <c r="Q340" s="2289"/>
      <c r="R340" s="2289"/>
      <c r="S340" s="2289"/>
      <c r="T340" s="2291"/>
      <c r="U340" s="2289"/>
      <c r="V340" s="2289"/>
      <c r="W340" s="2289"/>
      <c r="X340" s="2292"/>
      <c r="Y340" s="2292"/>
      <c r="Z340" s="2289"/>
      <c r="AA340" s="2289"/>
      <c r="AB340" s="2289"/>
      <c r="AC340" s="2289"/>
      <c r="AD340" s="2293"/>
      <c r="AE340" s="2293"/>
      <c r="AF340" s="2293"/>
      <c r="AG340" s="2293"/>
      <c r="AH340" s="2289"/>
      <c r="AI340" s="2289"/>
      <c r="AJ340" s="2294"/>
      <c r="AK340" s="2294"/>
      <c r="AL340" s="2289"/>
      <c r="AM340" s="2289"/>
      <c r="AN340" s="2289"/>
      <c r="AO340" s="2289"/>
      <c r="AP340" s="2289"/>
      <c r="AQ340" s="2289"/>
      <c r="AR340" s="2294"/>
      <c r="AS340" s="2294"/>
      <c r="AT340" s="2295"/>
      <c r="AU340" s="2295"/>
      <c r="AV340" s="2295"/>
      <c r="AW340" s="2295"/>
      <c r="AX340" s="2296"/>
      <c r="AY340" s="2289"/>
      <c r="AZ340" s="2289"/>
      <c r="BA340" s="2289"/>
      <c r="BB340" s="2289"/>
      <c r="BC340" s="2289"/>
      <c r="BD340" s="2289"/>
      <c r="BE340" s="2289"/>
      <c r="BF340" s="2289"/>
      <c r="BG340" s="2289"/>
      <c r="BH340" s="2289"/>
      <c r="BI340" s="2289"/>
      <c r="BJ340" s="2289"/>
      <c r="BK340" s="2289"/>
      <c r="BL340" s="2289"/>
      <c r="BM340" s="2289"/>
      <c r="BN340" s="2289"/>
      <c r="BO340" s="2289"/>
      <c r="BP340" s="2289"/>
      <c r="BQ340" s="2289"/>
      <c r="BR340" s="2289"/>
    </row>
    <row r="341" spans="1:70" ht="15.75" customHeight="1">
      <c r="A341" s="2289"/>
      <c r="B341" s="2289"/>
      <c r="C341" s="2289"/>
      <c r="D341" s="2289"/>
      <c r="E341" s="2289"/>
      <c r="F341" s="2289"/>
      <c r="G341" s="2290"/>
      <c r="H341" s="2289"/>
      <c r="I341" s="2289"/>
      <c r="J341" s="2290"/>
      <c r="K341" s="2289"/>
      <c r="L341" s="2289"/>
      <c r="M341" s="2290"/>
      <c r="N341" s="2290"/>
      <c r="O341" s="2290"/>
      <c r="P341" s="2290"/>
      <c r="Q341" s="2289"/>
      <c r="R341" s="2289"/>
      <c r="S341" s="2289"/>
      <c r="T341" s="2291"/>
      <c r="U341" s="2289"/>
      <c r="V341" s="2289"/>
      <c r="W341" s="2289"/>
      <c r="X341" s="2292"/>
      <c r="Y341" s="2292"/>
      <c r="Z341" s="2289"/>
      <c r="AA341" s="2289"/>
      <c r="AB341" s="2289"/>
      <c r="AC341" s="2289"/>
      <c r="AD341" s="2293"/>
      <c r="AE341" s="2293"/>
      <c r="AF341" s="2293"/>
      <c r="AG341" s="2293"/>
      <c r="AH341" s="2289"/>
      <c r="AI341" s="2289"/>
      <c r="AJ341" s="2294"/>
      <c r="AK341" s="2294"/>
      <c r="AL341" s="2289"/>
      <c r="AM341" s="2289"/>
      <c r="AN341" s="2289"/>
      <c r="AO341" s="2289"/>
      <c r="AP341" s="2289"/>
      <c r="AQ341" s="2289"/>
      <c r="AR341" s="2294"/>
      <c r="AS341" s="2294"/>
      <c r="AT341" s="2295"/>
      <c r="AU341" s="2295"/>
      <c r="AV341" s="2295"/>
      <c r="AW341" s="2295"/>
      <c r="AX341" s="2296"/>
      <c r="AY341" s="2289"/>
      <c r="AZ341" s="2289"/>
      <c r="BA341" s="2289"/>
      <c r="BB341" s="2289"/>
      <c r="BC341" s="2289"/>
      <c r="BD341" s="2289"/>
      <c r="BE341" s="2289"/>
      <c r="BF341" s="2289"/>
      <c r="BG341" s="2289"/>
      <c r="BH341" s="2289"/>
      <c r="BI341" s="2289"/>
      <c r="BJ341" s="2289"/>
      <c r="BK341" s="2289"/>
      <c r="BL341" s="2289"/>
      <c r="BM341" s="2289"/>
      <c r="BN341" s="2289"/>
      <c r="BO341" s="2289"/>
      <c r="BP341" s="2289"/>
      <c r="BQ341" s="2289"/>
      <c r="BR341" s="2289"/>
    </row>
    <row r="342" spans="1:70" ht="15.75" customHeight="1">
      <c r="A342" s="2289"/>
      <c r="B342" s="2289"/>
      <c r="C342" s="2289"/>
      <c r="D342" s="2289"/>
      <c r="E342" s="2289"/>
      <c r="F342" s="2289"/>
      <c r="G342" s="2290"/>
      <c r="H342" s="2289"/>
      <c r="I342" s="2289"/>
      <c r="J342" s="2290"/>
      <c r="K342" s="2289"/>
      <c r="L342" s="2289"/>
      <c r="M342" s="2290"/>
      <c r="N342" s="2290"/>
      <c r="O342" s="2290"/>
      <c r="P342" s="2290"/>
      <c r="Q342" s="2289"/>
      <c r="R342" s="2289"/>
      <c r="S342" s="2289"/>
      <c r="T342" s="2291"/>
      <c r="U342" s="2289"/>
      <c r="V342" s="2289"/>
      <c r="W342" s="2289"/>
      <c r="X342" s="2292"/>
      <c r="Y342" s="2292"/>
      <c r="Z342" s="2289"/>
      <c r="AA342" s="2289"/>
      <c r="AB342" s="2289"/>
      <c r="AC342" s="2289"/>
      <c r="AD342" s="2293"/>
      <c r="AE342" s="2293"/>
      <c r="AF342" s="2293"/>
      <c r="AG342" s="2293"/>
      <c r="AH342" s="2289"/>
      <c r="AI342" s="2289"/>
      <c r="AJ342" s="2294"/>
      <c r="AK342" s="2294"/>
      <c r="AL342" s="2289"/>
      <c r="AM342" s="2289"/>
      <c r="AN342" s="2289"/>
      <c r="AO342" s="2289"/>
      <c r="AP342" s="2289"/>
      <c r="AQ342" s="2289"/>
      <c r="AR342" s="2294"/>
      <c r="AS342" s="2294"/>
      <c r="AT342" s="2295"/>
      <c r="AU342" s="2295"/>
      <c r="AV342" s="2295"/>
      <c r="AW342" s="2295"/>
      <c r="AX342" s="2296"/>
      <c r="AY342" s="2289"/>
      <c r="AZ342" s="2289"/>
      <c r="BA342" s="2289"/>
      <c r="BB342" s="2289"/>
      <c r="BC342" s="2289"/>
      <c r="BD342" s="2289"/>
      <c r="BE342" s="2289"/>
      <c r="BF342" s="2289"/>
      <c r="BG342" s="2289"/>
      <c r="BH342" s="2289"/>
      <c r="BI342" s="2289"/>
      <c r="BJ342" s="2289"/>
      <c r="BK342" s="2289"/>
      <c r="BL342" s="2289"/>
      <c r="BM342" s="2289"/>
      <c r="BN342" s="2289"/>
      <c r="BO342" s="2289"/>
      <c r="BP342" s="2289"/>
      <c r="BQ342" s="2289"/>
      <c r="BR342" s="2289"/>
    </row>
    <row r="343" spans="1:70" ht="15.75" customHeight="1">
      <c r="A343" s="2289"/>
      <c r="B343" s="2289"/>
      <c r="C343" s="2289"/>
      <c r="D343" s="2289"/>
      <c r="E343" s="2289"/>
      <c r="F343" s="2289"/>
      <c r="G343" s="2290"/>
      <c r="H343" s="2289"/>
      <c r="I343" s="2289"/>
      <c r="J343" s="2290"/>
      <c r="K343" s="2289"/>
      <c r="L343" s="2289"/>
      <c r="M343" s="2290"/>
      <c r="N343" s="2290"/>
      <c r="O343" s="2290"/>
      <c r="P343" s="2290"/>
      <c r="Q343" s="2289"/>
      <c r="R343" s="2289"/>
      <c r="S343" s="2289"/>
      <c r="T343" s="2291"/>
      <c r="U343" s="2289"/>
      <c r="V343" s="2289"/>
      <c r="W343" s="2289"/>
      <c r="X343" s="2292"/>
      <c r="Y343" s="2292"/>
      <c r="Z343" s="2289"/>
      <c r="AA343" s="2289"/>
      <c r="AB343" s="2289"/>
      <c r="AC343" s="2289"/>
      <c r="AD343" s="2293"/>
      <c r="AE343" s="2293"/>
      <c r="AF343" s="2293"/>
      <c r="AG343" s="2293"/>
      <c r="AH343" s="2289"/>
      <c r="AI343" s="2289"/>
      <c r="AJ343" s="2294"/>
      <c r="AK343" s="2294"/>
      <c r="AL343" s="2289"/>
      <c r="AM343" s="2289"/>
      <c r="AN343" s="2289"/>
      <c r="AO343" s="2289"/>
      <c r="AP343" s="2289"/>
      <c r="AQ343" s="2289"/>
      <c r="AR343" s="2294"/>
      <c r="AS343" s="2294"/>
      <c r="AT343" s="2295"/>
      <c r="AU343" s="2295"/>
      <c r="AV343" s="2295"/>
      <c r="AW343" s="2295"/>
      <c r="AX343" s="2296"/>
      <c r="AY343" s="2289"/>
      <c r="AZ343" s="2289"/>
      <c r="BA343" s="2289"/>
      <c r="BB343" s="2289"/>
      <c r="BC343" s="2289"/>
      <c r="BD343" s="2289"/>
      <c r="BE343" s="2289"/>
      <c r="BF343" s="2289"/>
      <c r="BG343" s="2289"/>
      <c r="BH343" s="2289"/>
      <c r="BI343" s="2289"/>
      <c r="BJ343" s="2289"/>
      <c r="BK343" s="2289"/>
      <c r="BL343" s="2289"/>
      <c r="BM343" s="2289"/>
      <c r="BN343" s="2289"/>
      <c r="BO343" s="2289"/>
      <c r="BP343" s="2289"/>
      <c r="BQ343" s="2289"/>
      <c r="BR343" s="2289"/>
    </row>
    <row r="344" spans="1:70" ht="15.75" customHeight="1">
      <c r="A344" s="2289"/>
      <c r="B344" s="2289"/>
      <c r="C344" s="2289"/>
      <c r="D344" s="2289"/>
      <c r="E344" s="2289"/>
      <c r="F344" s="2289"/>
      <c r="G344" s="2290"/>
      <c r="H344" s="2289"/>
      <c r="I344" s="2289"/>
      <c r="J344" s="2290"/>
      <c r="K344" s="2289"/>
      <c r="L344" s="2289"/>
      <c r="M344" s="2290"/>
      <c r="N344" s="2290"/>
      <c r="O344" s="2290"/>
      <c r="P344" s="2290"/>
      <c r="Q344" s="2289"/>
      <c r="R344" s="2289"/>
      <c r="S344" s="2289"/>
      <c r="T344" s="2291"/>
      <c r="U344" s="2289"/>
      <c r="V344" s="2289"/>
      <c r="W344" s="2289"/>
      <c r="X344" s="2292"/>
      <c r="Y344" s="2292"/>
      <c r="Z344" s="2289"/>
      <c r="AA344" s="2289"/>
      <c r="AB344" s="2289"/>
      <c r="AC344" s="2289"/>
      <c r="AD344" s="2293"/>
      <c r="AE344" s="2293"/>
      <c r="AF344" s="2293"/>
      <c r="AG344" s="2293"/>
      <c r="AH344" s="2289"/>
      <c r="AI344" s="2289"/>
      <c r="AJ344" s="2294"/>
      <c r="AK344" s="2294"/>
      <c r="AL344" s="2289"/>
      <c r="AM344" s="2289"/>
      <c r="AN344" s="2289"/>
      <c r="AO344" s="2289"/>
      <c r="AP344" s="2289"/>
      <c r="AQ344" s="2289"/>
      <c r="AR344" s="2294"/>
      <c r="AS344" s="2294"/>
      <c r="AT344" s="2295"/>
      <c r="AU344" s="2295"/>
      <c r="AV344" s="2295"/>
      <c r="AW344" s="2295"/>
      <c r="AX344" s="2296"/>
      <c r="AY344" s="2289"/>
      <c r="AZ344" s="2289"/>
      <c r="BA344" s="2289"/>
      <c r="BB344" s="2289"/>
      <c r="BC344" s="2289"/>
      <c r="BD344" s="2289"/>
      <c r="BE344" s="2289"/>
      <c r="BF344" s="2289"/>
      <c r="BG344" s="2289"/>
      <c r="BH344" s="2289"/>
      <c r="BI344" s="2289"/>
      <c r="BJ344" s="2289"/>
      <c r="BK344" s="2289"/>
      <c r="BL344" s="2289"/>
      <c r="BM344" s="2289"/>
      <c r="BN344" s="2289"/>
      <c r="BO344" s="2289"/>
      <c r="BP344" s="2289"/>
      <c r="BQ344" s="2289"/>
      <c r="BR344" s="2289"/>
    </row>
    <row r="345" spans="1:70" ht="15.75" customHeight="1">
      <c r="A345" s="2289"/>
      <c r="B345" s="2289"/>
      <c r="C345" s="2289"/>
      <c r="D345" s="2289"/>
      <c r="E345" s="2289"/>
      <c r="F345" s="2289"/>
      <c r="G345" s="2290"/>
      <c r="H345" s="2289"/>
      <c r="I345" s="2289"/>
      <c r="J345" s="2290"/>
      <c r="K345" s="2289"/>
      <c r="L345" s="2289"/>
      <c r="M345" s="2290"/>
      <c r="N345" s="2290"/>
      <c r="O345" s="2290"/>
      <c r="P345" s="2290"/>
      <c r="Q345" s="2289"/>
      <c r="R345" s="2289"/>
      <c r="S345" s="2289"/>
      <c r="T345" s="2291"/>
      <c r="U345" s="2289"/>
      <c r="V345" s="2289"/>
      <c r="W345" s="2289"/>
      <c r="X345" s="2292"/>
      <c r="Y345" s="2292"/>
      <c r="Z345" s="2289"/>
      <c r="AA345" s="2289"/>
      <c r="AB345" s="2289"/>
      <c r="AC345" s="2289"/>
      <c r="AD345" s="2293"/>
      <c r="AE345" s="2293"/>
      <c r="AF345" s="2293"/>
      <c r="AG345" s="2293"/>
      <c r="AH345" s="2289"/>
      <c r="AI345" s="2289"/>
      <c r="AJ345" s="2294"/>
      <c r="AK345" s="2294"/>
      <c r="AL345" s="2289"/>
      <c r="AM345" s="2289"/>
      <c r="AN345" s="2289"/>
      <c r="AO345" s="2289"/>
      <c r="AP345" s="2289"/>
      <c r="AQ345" s="2289"/>
      <c r="AR345" s="2294"/>
      <c r="AS345" s="2294"/>
      <c r="AT345" s="2295"/>
      <c r="AU345" s="2295"/>
      <c r="AV345" s="2295"/>
      <c r="AW345" s="2295"/>
      <c r="AX345" s="2296"/>
      <c r="AY345" s="2289"/>
      <c r="AZ345" s="2289"/>
      <c r="BA345" s="2289"/>
      <c r="BB345" s="2289"/>
      <c r="BC345" s="2289"/>
      <c r="BD345" s="2289"/>
      <c r="BE345" s="2289"/>
      <c r="BF345" s="2289"/>
      <c r="BG345" s="2289"/>
      <c r="BH345" s="2289"/>
      <c r="BI345" s="2289"/>
      <c r="BJ345" s="2289"/>
      <c r="BK345" s="2289"/>
      <c r="BL345" s="2289"/>
      <c r="BM345" s="2289"/>
      <c r="BN345" s="2289"/>
      <c r="BO345" s="2289"/>
      <c r="BP345" s="2289"/>
      <c r="BQ345" s="2289"/>
      <c r="BR345" s="2289"/>
    </row>
    <row r="346" spans="1:70" ht="15.75" customHeight="1">
      <c r="A346" s="2289"/>
      <c r="B346" s="2289"/>
      <c r="C346" s="2289"/>
      <c r="D346" s="2289"/>
      <c r="E346" s="2289"/>
      <c r="F346" s="2289"/>
      <c r="G346" s="2290"/>
      <c r="H346" s="2289"/>
      <c r="I346" s="2289"/>
      <c r="J346" s="2290"/>
      <c r="K346" s="2289"/>
      <c r="L346" s="2289"/>
      <c r="M346" s="2290"/>
      <c r="N346" s="2290"/>
      <c r="O346" s="2290"/>
      <c r="P346" s="2290"/>
      <c r="Q346" s="2289"/>
      <c r="R346" s="2289"/>
      <c r="S346" s="2289"/>
      <c r="T346" s="2291"/>
      <c r="U346" s="2289"/>
      <c r="V346" s="2289"/>
      <c r="W346" s="2289"/>
      <c r="X346" s="2292"/>
      <c r="Y346" s="2292"/>
      <c r="Z346" s="2289"/>
      <c r="AA346" s="2289"/>
      <c r="AB346" s="2289"/>
      <c r="AC346" s="2289"/>
      <c r="AD346" s="2293"/>
      <c r="AE346" s="2293"/>
      <c r="AF346" s="2293"/>
      <c r="AG346" s="2293"/>
      <c r="AH346" s="2289"/>
      <c r="AI346" s="2289"/>
      <c r="AJ346" s="2294"/>
      <c r="AK346" s="2294"/>
      <c r="AL346" s="2289"/>
      <c r="AM346" s="2289"/>
      <c r="AN346" s="2289"/>
      <c r="AO346" s="2289"/>
      <c r="AP346" s="2289"/>
      <c r="AQ346" s="2289"/>
      <c r="AR346" s="2294"/>
      <c r="AS346" s="2294"/>
      <c r="AT346" s="2295"/>
      <c r="AU346" s="2295"/>
      <c r="AV346" s="2295"/>
      <c r="AW346" s="2295"/>
      <c r="AX346" s="2296"/>
      <c r="AY346" s="2289"/>
      <c r="AZ346" s="2289"/>
      <c r="BA346" s="2289"/>
      <c r="BB346" s="2289"/>
      <c r="BC346" s="2289"/>
      <c r="BD346" s="2289"/>
      <c r="BE346" s="2289"/>
      <c r="BF346" s="2289"/>
      <c r="BG346" s="2289"/>
      <c r="BH346" s="2289"/>
      <c r="BI346" s="2289"/>
      <c r="BJ346" s="2289"/>
      <c r="BK346" s="2289"/>
      <c r="BL346" s="2289"/>
      <c r="BM346" s="2289"/>
      <c r="BN346" s="2289"/>
      <c r="BO346" s="2289"/>
      <c r="BP346" s="2289"/>
      <c r="BQ346" s="2289"/>
      <c r="BR346" s="2289"/>
    </row>
    <row r="347" spans="1:70" ht="15.75" customHeight="1">
      <c r="A347" s="2289"/>
      <c r="B347" s="2289"/>
      <c r="C347" s="2289"/>
      <c r="D347" s="2289"/>
      <c r="E347" s="2289"/>
      <c r="F347" s="2289"/>
      <c r="G347" s="2290"/>
      <c r="H347" s="2289"/>
      <c r="I347" s="2289"/>
      <c r="J347" s="2290"/>
      <c r="K347" s="2289"/>
      <c r="L347" s="2289"/>
      <c r="M347" s="2290"/>
      <c r="N347" s="2290"/>
      <c r="O347" s="2290"/>
      <c r="P347" s="2290"/>
      <c r="Q347" s="2289"/>
      <c r="R347" s="2289"/>
      <c r="S347" s="2289"/>
      <c r="T347" s="2291"/>
      <c r="U347" s="2289"/>
      <c r="V347" s="2289"/>
      <c r="W347" s="2289"/>
      <c r="X347" s="2292"/>
      <c r="Y347" s="2292"/>
      <c r="Z347" s="2289"/>
      <c r="AA347" s="2289"/>
      <c r="AB347" s="2289"/>
      <c r="AC347" s="2289"/>
      <c r="AD347" s="2293"/>
      <c r="AE347" s="2293"/>
      <c r="AF347" s="2293"/>
      <c r="AG347" s="2293"/>
      <c r="AH347" s="2289"/>
      <c r="AI347" s="2289"/>
      <c r="AJ347" s="2294"/>
      <c r="AK347" s="2294"/>
      <c r="AL347" s="2289"/>
      <c r="AM347" s="2289"/>
      <c r="AN347" s="2289"/>
      <c r="AO347" s="2289"/>
      <c r="AP347" s="2289"/>
      <c r="AQ347" s="2289"/>
      <c r="AR347" s="2294"/>
      <c r="AS347" s="2294"/>
      <c r="AT347" s="2295"/>
      <c r="AU347" s="2295"/>
      <c r="AV347" s="2295"/>
      <c r="AW347" s="2295"/>
      <c r="AX347" s="2296"/>
      <c r="AY347" s="2289"/>
      <c r="AZ347" s="2289"/>
      <c r="BA347" s="2289"/>
      <c r="BB347" s="2289"/>
      <c r="BC347" s="2289"/>
      <c r="BD347" s="2289"/>
      <c r="BE347" s="2289"/>
      <c r="BF347" s="2289"/>
      <c r="BG347" s="2289"/>
      <c r="BH347" s="2289"/>
      <c r="BI347" s="2289"/>
      <c r="BJ347" s="2289"/>
      <c r="BK347" s="2289"/>
      <c r="BL347" s="2289"/>
      <c r="BM347" s="2289"/>
      <c r="BN347" s="2289"/>
      <c r="BO347" s="2289"/>
      <c r="BP347" s="2289"/>
      <c r="BQ347" s="2289"/>
      <c r="BR347" s="2289"/>
    </row>
    <row r="348" spans="1:70" ht="15.75" customHeight="1">
      <c r="A348" s="2289"/>
      <c r="B348" s="2289"/>
      <c r="C348" s="2289"/>
      <c r="D348" s="2289"/>
      <c r="E348" s="2289"/>
      <c r="F348" s="2289"/>
      <c r="G348" s="2290"/>
      <c r="H348" s="2289"/>
      <c r="I348" s="2289"/>
      <c r="J348" s="2290"/>
      <c r="K348" s="2289"/>
      <c r="L348" s="2289"/>
      <c r="M348" s="2290"/>
      <c r="N348" s="2290"/>
      <c r="O348" s="2290"/>
      <c r="P348" s="2290"/>
      <c r="Q348" s="2289"/>
      <c r="R348" s="2289"/>
      <c r="S348" s="2289"/>
      <c r="T348" s="2291"/>
      <c r="U348" s="2289"/>
      <c r="V348" s="2289"/>
      <c r="W348" s="2289"/>
      <c r="X348" s="2292"/>
      <c r="Y348" s="2292"/>
      <c r="Z348" s="2289"/>
      <c r="AA348" s="2289"/>
      <c r="AB348" s="2289"/>
      <c r="AC348" s="2289"/>
      <c r="AD348" s="2293"/>
      <c r="AE348" s="2293"/>
      <c r="AF348" s="2293"/>
      <c r="AG348" s="2293"/>
      <c r="AH348" s="2289"/>
      <c r="AI348" s="2289"/>
      <c r="AJ348" s="2294"/>
      <c r="AK348" s="2294"/>
      <c r="AL348" s="2289"/>
      <c r="AM348" s="2289"/>
      <c r="AN348" s="2289"/>
      <c r="AO348" s="2289"/>
      <c r="AP348" s="2289"/>
      <c r="AQ348" s="2289"/>
      <c r="AR348" s="2294"/>
      <c r="AS348" s="2294"/>
      <c r="AT348" s="2295"/>
      <c r="AU348" s="2295"/>
      <c r="AV348" s="2295"/>
      <c r="AW348" s="2295"/>
      <c r="AX348" s="2296"/>
      <c r="AY348" s="2289"/>
      <c r="AZ348" s="2289"/>
      <c r="BA348" s="2289"/>
      <c r="BB348" s="2289"/>
      <c r="BC348" s="2289"/>
      <c r="BD348" s="2289"/>
      <c r="BE348" s="2289"/>
      <c r="BF348" s="2289"/>
      <c r="BG348" s="2289"/>
      <c r="BH348" s="2289"/>
      <c r="BI348" s="2289"/>
      <c r="BJ348" s="2289"/>
      <c r="BK348" s="2289"/>
      <c r="BL348" s="2289"/>
      <c r="BM348" s="2289"/>
      <c r="BN348" s="2289"/>
      <c r="BO348" s="2289"/>
      <c r="BP348" s="2289"/>
      <c r="BQ348" s="2289"/>
      <c r="BR348" s="2289"/>
    </row>
    <row r="349" spans="1:70" ht="15.75" customHeight="1">
      <c r="A349" s="2289"/>
      <c r="B349" s="2289"/>
      <c r="C349" s="2289"/>
      <c r="D349" s="2289"/>
      <c r="E349" s="2289"/>
      <c r="F349" s="2289"/>
      <c r="G349" s="2290"/>
      <c r="H349" s="2289"/>
      <c r="I349" s="2289"/>
      <c r="J349" s="2290"/>
      <c r="K349" s="2289"/>
      <c r="L349" s="2289"/>
      <c r="M349" s="2290"/>
      <c r="N349" s="2290"/>
      <c r="O349" s="2290"/>
      <c r="P349" s="2290"/>
      <c r="Q349" s="2289"/>
      <c r="R349" s="2289"/>
      <c r="S349" s="2289"/>
      <c r="T349" s="2291"/>
      <c r="U349" s="2289"/>
      <c r="V349" s="2289"/>
      <c r="W349" s="2289"/>
      <c r="X349" s="2292"/>
      <c r="Y349" s="2292"/>
      <c r="Z349" s="2289"/>
      <c r="AA349" s="2289"/>
      <c r="AB349" s="2289"/>
      <c r="AC349" s="2289"/>
      <c r="AD349" s="2293"/>
      <c r="AE349" s="2293"/>
      <c r="AF349" s="2293"/>
      <c r="AG349" s="2293"/>
      <c r="AH349" s="2289"/>
      <c r="AI349" s="2289"/>
      <c r="AJ349" s="2294"/>
      <c r="AK349" s="2294"/>
      <c r="AL349" s="2289"/>
      <c r="AM349" s="2289"/>
      <c r="AN349" s="2289"/>
      <c r="AO349" s="2289"/>
      <c r="AP349" s="2289"/>
      <c r="AQ349" s="2289"/>
      <c r="AR349" s="2294"/>
      <c r="AS349" s="2294"/>
      <c r="AT349" s="2295"/>
      <c r="AU349" s="2295"/>
      <c r="AV349" s="2295"/>
      <c r="AW349" s="2295"/>
      <c r="AX349" s="2296"/>
      <c r="AY349" s="2289"/>
      <c r="AZ349" s="2289"/>
      <c r="BA349" s="2289"/>
      <c r="BB349" s="2289"/>
      <c r="BC349" s="2289"/>
      <c r="BD349" s="2289"/>
      <c r="BE349" s="2289"/>
      <c r="BF349" s="2289"/>
      <c r="BG349" s="2289"/>
      <c r="BH349" s="2289"/>
      <c r="BI349" s="2289"/>
      <c r="BJ349" s="2289"/>
      <c r="BK349" s="2289"/>
      <c r="BL349" s="2289"/>
      <c r="BM349" s="2289"/>
      <c r="BN349" s="2289"/>
      <c r="BO349" s="2289"/>
      <c r="BP349" s="2289"/>
      <c r="BQ349" s="2289"/>
      <c r="BR349" s="2289"/>
    </row>
    <row r="350" spans="1:70" ht="15.75" customHeight="1">
      <c r="A350" s="2289"/>
      <c r="B350" s="2289"/>
      <c r="C350" s="2289"/>
      <c r="D350" s="2289"/>
      <c r="E350" s="2289"/>
      <c r="F350" s="2289"/>
      <c r="G350" s="2290"/>
      <c r="H350" s="2289"/>
      <c r="I350" s="2289"/>
      <c r="J350" s="2290"/>
      <c r="K350" s="2289"/>
      <c r="L350" s="2289"/>
      <c r="M350" s="2290"/>
      <c r="N350" s="2290"/>
      <c r="O350" s="2290"/>
      <c r="P350" s="2290"/>
      <c r="Q350" s="2289"/>
      <c r="R350" s="2289"/>
      <c r="S350" s="2289"/>
      <c r="T350" s="2291"/>
      <c r="U350" s="2289"/>
      <c r="V350" s="2289"/>
      <c r="W350" s="2289"/>
      <c r="X350" s="2292"/>
      <c r="Y350" s="2292"/>
      <c r="Z350" s="2289"/>
      <c r="AA350" s="2289"/>
      <c r="AB350" s="2289"/>
      <c r="AC350" s="2289"/>
      <c r="AD350" s="2293"/>
      <c r="AE350" s="2293"/>
      <c r="AF350" s="2293"/>
      <c r="AG350" s="2293"/>
      <c r="AH350" s="2289"/>
      <c r="AI350" s="2289"/>
      <c r="AJ350" s="2294"/>
      <c r="AK350" s="2294"/>
      <c r="AL350" s="2289"/>
      <c r="AM350" s="2289"/>
      <c r="AN350" s="2289"/>
      <c r="AO350" s="2289"/>
      <c r="AP350" s="2289"/>
      <c r="AQ350" s="2289"/>
      <c r="AR350" s="2294"/>
      <c r="AS350" s="2294"/>
      <c r="AT350" s="2295"/>
      <c r="AU350" s="2295"/>
      <c r="AV350" s="2295"/>
      <c r="AW350" s="2295"/>
      <c r="AX350" s="2296"/>
      <c r="AY350" s="2289"/>
      <c r="AZ350" s="2289"/>
      <c r="BA350" s="2289"/>
      <c r="BB350" s="2289"/>
      <c r="BC350" s="2289"/>
      <c r="BD350" s="2289"/>
      <c r="BE350" s="2289"/>
      <c r="BF350" s="2289"/>
      <c r="BG350" s="2289"/>
      <c r="BH350" s="2289"/>
      <c r="BI350" s="2289"/>
      <c r="BJ350" s="2289"/>
      <c r="BK350" s="2289"/>
      <c r="BL350" s="2289"/>
      <c r="BM350" s="2289"/>
      <c r="BN350" s="2289"/>
      <c r="BO350" s="2289"/>
      <c r="BP350" s="2289"/>
      <c r="BQ350" s="2289"/>
      <c r="BR350" s="2289"/>
    </row>
    <row r="351" spans="1:70" ht="15.75" customHeight="1">
      <c r="A351" s="2289"/>
      <c r="B351" s="2289"/>
      <c r="C351" s="2289"/>
      <c r="D351" s="2289"/>
      <c r="E351" s="2289"/>
      <c r="F351" s="2289"/>
      <c r="G351" s="2290"/>
      <c r="H351" s="2289"/>
      <c r="I351" s="2289"/>
      <c r="J351" s="2290"/>
      <c r="K351" s="2289"/>
      <c r="L351" s="2289"/>
      <c r="M351" s="2290"/>
      <c r="N351" s="2290"/>
      <c r="O351" s="2290"/>
      <c r="P351" s="2290"/>
      <c r="Q351" s="2289"/>
      <c r="R351" s="2289"/>
      <c r="S351" s="2289"/>
      <c r="T351" s="2291"/>
      <c r="U351" s="2289"/>
      <c r="V351" s="2289"/>
      <c r="W351" s="2289"/>
      <c r="X351" s="2292"/>
      <c r="Y351" s="2292"/>
      <c r="Z351" s="2289"/>
      <c r="AA351" s="2289"/>
      <c r="AB351" s="2289"/>
      <c r="AC351" s="2289"/>
      <c r="AD351" s="2293"/>
      <c r="AE351" s="2293"/>
      <c r="AF351" s="2293"/>
      <c r="AG351" s="2293"/>
      <c r="AH351" s="2289"/>
      <c r="AI351" s="2289"/>
      <c r="AJ351" s="2294"/>
      <c r="AK351" s="2294"/>
      <c r="AL351" s="2289"/>
      <c r="AM351" s="2289"/>
      <c r="AN351" s="2289"/>
      <c r="AO351" s="2289"/>
      <c r="AP351" s="2289"/>
      <c r="AQ351" s="2289"/>
      <c r="AR351" s="2294"/>
      <c r="AS351" s="2294"/>
      <c r="AT351" s="2295"/>
      <c r="AU351" s="2295"/>
      <c r="AV351" s="2295"/>
      <c r="AW351" s="2295"/>
      <c r="AX351" s="2296"/>
      <c r="AY351" s="2289"/>
      <c r="AZ351" s="2289"/>
      <c r="BA351" s="2289"/>
      <c r="BB351" s="2289"/>
      <c r="BC351" s="2289"/>
      <c r="BD351" s="2289"/>
      <c r="BE351" s="2289"/>
      <c r="BF351" s="2289"/>
      <c r="BG351" s="2289"/>
      <c r="BH351" s="2289"/>
      <c r="BI351" s="2289"/>
      <c r="BJ351" s="2289"/>
      <c r="BK351" s="2289"/>
      <c r="BL351" s="2289"/>
      <c r="BM351" s="2289"/>
      <c r="BN351" s="2289"/>
      <c r="BO351" s="2289"/>
      <c r="BP351" s="2289"/>
      <c r="BQ351" s="2289"/>
      <c r="BR351" s="2289"/>
    </row>
    <row r="352" spans="1:70" ht="15.75" customHeight="1">
      <c r="A352" s="2289"/>
      <c r="B352" s="2289"/>
      <c r="C352" s="2289"/>
      <c r="D352" s="2289"/>
      <c r="E352" s="2289"/>
      <c r="F352" s="2289"/>
      <c r="G352" s="2290"/>
      <c r="H352" s="2289"/>
      <c r="I352" s="2289"/>
      <c r="J352" s="2290"/>
      <c r="K352" s="2289"/>
      <c r="L352" s="2289"/>
      <c r="M352" s="2290"/>
      <c r="N352" s="2290"/>
      <c r="O352" s="2290"/>
      <c r="P352" s="2290"/>
      <c r="Q352" s="2289"/>
      <c r="R352" s="2289"/>
      <c r="S352" s="2289"/>
      <c r="T352" s="2291"/>
      <c r="U352" s="2289"/>
      <c r="V352" s="2289"/>
      <c r="W352" s="2289"/>
      <c r="X352" s="2292"/>
      <c r="Y352" s="2292"/>
      <c r="Z352" s="2289"/>
      <c r="AA352" s="2289"/>
      <c r="AB352" s="2289"/>
      <c r="AC352" s="2289"/>
      <c r="AD352" s="2293"/>
      <c r="AE352" s="2293"/>
      <c r="AF352" s="2293"/>
      <c r="AG352" s="2293"/>
      <c r="AH352" s="2289"/>
      <c r="AI352" s="2289"/>
      <c r="AJ352" s="2294"/>
      <c r="AK352" s="2294"/>
      <c r="AL352" s="2289"/>
      <c r="AM352" s="2289"/>
      <c r="AN352" s="2289"/>
      <c r="AO352" s="2289"/>
      <c r="AP352" s="2289"/>
      <c r="AQ352" s="2289"/>
      <c r="AR352" s="2294"/>
      <c r="AS352" s="2294"/>
      <c r="AT352" s="2295"/>
      <c r="AU352" s="2295"/>
      <c r="AV352" s="2295"/>
      <c r="AW352" s="2295"/>
      <c r="AX352" s="2296"/>
      <c r="AY352" s="2289"/>
      <c r="AZ352" s="2289"/>
      <c r="BA352" s="2289"/>
      <c r="BB352" s="2289"/>
      <c r="BC352" s="2289"/>
      <c r="BD352" s="2289"/>
      <c r="BE352" s="2289"/>
      <c r="BF352" s="2289"/>
      <c r="BG352" s="2289"/>
      <c r="BH352" s="2289"/>
      <c r="BI352" s="2289"/>
      <c r="BJ352" s="2289"/>
      <c r="BK352" s="2289"/>
      <c r="BL352" s="2289"/>
      <c r="BM352" s="2289"/>
      <c r="BN352" s="2289"/>
      <c r="BO352" s="2289"/>
      <c r="BP352" s="2289"/>
      <c r="BQ352" s="2289"/>
      <c r="BR352" s="2289"/>
    </row>
    <row r="353" spans="1:70" ht="15.75" customHeight="1">
      <c r="A353" s="2289"/>
      <c r="B353" s="2289"/>
      <c r="C353" s="2289"/>
      <c r="D353" s="2289"/>
      <c r="E353" s="2289"/>
      <c r="F353" s="2289"/>
      <c r="G353" s="2290"/>
      <c r="H353" s="2289"/>
      <c r="I353" s="2289"/>
      <c r="J353" s="2290"/>
      <c r="K353" s="2289"/>
      <c r="L353" s="2289"/>
      <c r="M353" s="2290"/>
      <c r="N353" s="2290"/>
      <c r="O353" s="2290"/>
      <c r="P353" s="2290"/>
      <c r="Q353" s="2289"/>
      <c r="R353" s="2289"/>
      <c r="S353" s="2289"/>
      <c r="T353" s="2291"/>
      <c r="U353" s="2289"/>
      <c r="V353" s="2289"/>
      <c r="W353" s="2289"/>
      <c r="X353" s="2292"/>
      <c r="Y353" s="2292"/>
      <c r="Z353" s="2289"/>
      <c r="AA353" s="2289"/>
      <c r="AB353" s="2289"/>
      <c r="AC353" s="2289"/>
      <c r="AD353" s="2293"/>
      <c r="AE353" s="2293"/>
      <c r="AF353" s="2293"/>
      <c r="AG353" s="2293"/>
      <c r="AH353" s="2289"/>
      <c r="AI353" s="2289"/>
      <c r="AJ353" s="2294"/>
      <c r="AK353" s="2294"/>
      <c r="AL353" s="2289"/>
      <c r="AM353" s="2289"/>
      <c r="AN353" s="2289"/>
      <c r="AO353" s="2289"/>
      <c r="AP353" s="2289"/>
      <c r="AQ353" s="2289"/>
      <c r="AR353" s="2294"/>
      <c r="AS353" s="2294"/>
      <c r="AT353" s="2295"/>
      <c r="AU353" s="2295"/>
      <c r="AV353" s="2295"/>
      <c r="AW353" s="2295"/>
      <c r="AX353" s="2296"/>
      <c r="AY353" s="2289"/>
      <c r="AZ353" s="2289"/>
      <c r="BA353" s="2289"/>
      <c r="BB353" s="2289"/>
      <c r="BC353" s="2289"/>
      <c r="BD353" s="2289"/>
      <c r="BE353" s="2289"/>
      <c r="BF353" s="2289"/>
      <c r="BG353" s="2289"/>
      <c r="BH353" s="2289"/>
      <c r="BI353" s="2289"/>
      <c r="BJ353" s="2289"/>
      <c r="BK353" s="2289"/>
      <c r="BL353" s="2289"/>
      <c r="BM353" s="2289"/>
      <c r="BN353" s="2289"/>
      <c r="BO353" s="2289"/>
      <c r="BP353" s="2289"/>
      <c r="BQ353" s="2289"/>
      <c r="BR353" s="2289"/>
    </row>
    <row r="354" spans="1:70" ht="15.75" customHeight="1">
      <c r="A354" s="2289"/>
      <c r="B354" s="2289"/>
      <c r="C354" s="2289"/>
      <c r="D354" s="2289"/>
      <c r="E354" s="2289"/>
      <c r="F354" s="2289"/>
      <c r="G354" s="2290"/>
      <c r="H354" s="2289"/>
      <c r="I354" s="2289"/>
      <c r="J354" s="2290"/>
      <c r="K354" s="2289"/>
      <c r="L354" s="2289"/>
      <c r="M354" s="2290"/>
      <c r="N354" s="2290"/>
      <c r="O354" s="2290"/>
      <c r="P354" s="2290"/>
      <c r="Q354" s="2289"/>
      <c r="R354" s="2289"/>
      <c r="S354" s="2289"/>
      <c r="T354" s="2291"/>
      <c r="U354" s="2289"/>
      <c r="V354" s="2289"/>
      <c r="W354" s="2289"/>
      <c r="X354" s="2292"/>
      <c r="Y354" s="2292"/>
      <c r="Z354" s="2289"/>
      <c r="AA354" s="2289"/>
      <c r="AB354" s="2289"/>
      <c r="AC354" s="2289"/>
      <c r="AD354" s="2293"/>
      <c r="AE354" s="2293"/>
      <c r="AF354" s="2293"/>
      <c r="AG354" s="2293"/>
      <c r="AH354" s="2289"/>
      <c r="AI354" s="2289"/>
      <c r="AJ354" s="2294"/>
      <c r="AK354" s="2294"/>
      <c r="AL354" s="2289"/>
      <c r="AM354" s="2289"/>
      <c r="AN354" s="2289"/>
      <c r="AO354" s="2289"/>
      <c r="AP354" s="2289"/>
      <c r="AQ354" s="2289"/>
      <c r="AR354" s="2294"/>
      <c r="AS354" s="2294"/>
      <c r="AT354" s="2295"/>
      <c r="AU354" s="2295"/>
      <c r="AV354" s="2295"/>
      <c r="AW354" s="2295"/>
      <c r="AX354" s="2296"/>
      <c r="AY354" s="2289"/>
      <c r="AZ354" s="2289"/>
      <c r="BA354" s="2289"/>
      <c r="BB354" s="2289"/>
      <c r="BC354" s="2289"/>
      <c r="BD354" s="2289"/>
      <c r="BE354" s="2289"/>
      <c r="BF354" s="2289"/>
      <c r="BG354" s="2289"/>
      <c r="BH354" s="2289"/>
      <c r="BI354" s="2289"/>
      <c r="BJ354" s="2289"/>
      <c r="BK354" s="2289"/>
      <c r="BL354" s="2289"/>
      <c r="BM354" s="2289"/>
      <c r="BN354" s="2289"/>
      <c r="BO354" s="2289"/>
      <c r="BP354" s="2289"/>
      <c r="BQ354" s="2289"/>
      <c r="BR354" s="2289"/>
    </row>
    <row r="355" spans="1:70" ht="15.75" customHeight="1">
      <c r="A355" s="2289"/>
      <c r="B355" s="2289"/>
      <c r="C355" s="2289"/>
      <c r="D355" s="2289"/>
      <c r="E355" s="2289"/>
      <c r="F355" s="2289"/>
      <c r="G355" s="2290"/>
      <c r="H355" s="2289"/>
      <c r="I355" s="2289"/>
      <c r="J355" s="2290"/>
      <c r="K355" s="2289"/>
      <c r="L355" s="2289"/>
      <c r="M355" s="2290"/>
      <c r="N355" s="2290"/>
      <c r="O355" s="2290"/>
      <c r="P355" s="2290"/>
      <c r="Q355" s="2289"/>
      <c r="R355" s="2289"/>
      <c r="S355" s="2289"/>
      <c r="T355" s="2291"/>
      <c r="U355" s="2289"/>
      <c r="V355" s="2289"/>
      <c r="W355" s="2289"/>
      <c r="X355" s="2292"/>
      <c r="Y355" s="2292"/>
      <c r="Z355" s="2289"/>
      <c r="AA355" s="2289"/>
      <c r="AB355" s="2289"/>
      <c r="AC355" s="2289"/>
      <c r="AD355" s="2293"/>
      <c r="AE355" s="2293"/>
      <c r="AF355" s="2293"/>
      <c r="AG355" s="2293"/>
      <c r="AH355" s="2289"/>
      <c r="AI355" s="2289"/>
      <c r="AJ355" s="2294"/>
      <c r="AK355" s="2294"/>
      <c r="AL355" s="2289"/>
      <c r="AM355" s="2289"/>
      <c r="AN355" s="2289"/>
      <c r="AO355" s="2289"/>
      <c r="AP355" s="2289"/>
      <c r="AQ355" s="2289"/>
      <c r="AR355" s="2294"/>
      <c r="AS355" s="2294"/>
      <c r="AT355" s="2295"/>
      <c r="AU355" s="2295"/>
      <c r="AV355" s="2295"/>
      <c r="AW355" s="2295"/>
      <c r="AX355" s="2296"/>
      <c r="AY355" s="2289"/>
      <c r="AZ355" s="2289"/>
      <c r="BA355" s="2289"/>
      <c r="BB355" s="2289"/>
      <c r="BC355" s="2289"/>
      <c r="BD355" s="2289"/>
      <c r="BE355" s="2289"/>
      <c r="BF355" s="2289"/>
      <c r="BG355" s="2289"/>
      <c r="BH355" s="2289"/>
      <c r="BI355" s="2289"/>
      <c r="BJ355" s="2289"/>
      <c r="BK355" s="2289"/>
      <c r="BL355" s="2289"/>
      <c r="BM355" s="2289"/>
      <c r="BN355" s="2289"/>
      <c r="BO355" s="2289"/>
      <c r="BP355" s="2289"/>
      <c r="BQ355" s="2289"/>
      <c r="BR355" s="2289"/>
    </row>
    <row r="356" spans="1:70" ht="15.75" customHeight="1">
      <c r="A356" s="2289"/>
      <c r="B356" s="2289"/>
      <c r="C356" s="2289"/>
      <c r="D356" s="2289"/>
      <c r="E356" s="2289"/>
      <c r="F356" s="2289"/>
      <c r="G356" s="2290"/>
      <c r="H356" s="2289"/>
      <c r="I356" s="2289"/>
      <c r="J356" s="2290"/>
      <c r="K356" s="2289"/>
      <c r="L356" s="2289"/>
      <c r="M356" s="2290"/>
      <c r="N356" s="2290"/>
      <c r="O356" s="2290"/>
      <c r="P356" s="2290"/>
      <c r="Q356" s="2289"/>
      <c r="R356" s="2289"/>
      <c r="S356" s="2289"/>
      <c r="T356" s="2291"/>
      <c r="U356" s="2289"/>
      <c r="V356" s="2289"/>
      <c r="W356" s="2289"/>
      <c r="X356" s="2292"/>
      <c r="Y356" s="2292"/>
      <c r="Z356" s="2289"/>
      <c r="AA356" s="2289"/>
      <c r="AB356" s="2289"/>
      <c r="AC356" s="2289"/>
      <c r="AD356" s="2293"/>
      <c r="AE356" s="2293"/>
      <c r="AF356" s="2293"/>
      <c r="AG356" s="2293"/>
      <c r="AH356" s="2289"/>
      <c r="AI356" s="2289"/>
      <c r="AJ356" s="2294"/>
      <c r="AK356" s="2294"/>
      <c r="AL356" s="2289"/>
      <c r="AM356" s="2289"/>
      <c r="AN356" s="2289"/>
      <c r="AO356" s="2289"/>
      <c r="AP356" s="2289"/>
      <c r="AQ356" s="2289"/>
      <c r="AR356" s="2294"/>
      <c r="AS356" s="2294"/>
      <c r="AT356" s="2295"/>
      <c r="AU356" s="2295"/>
      <c r="AV356" s="2295"/>
      <c r="AW356" s="2295"/>
      <c r="AX356" s="2296"/>
      <c r="AY356" s="2289"/>
      <c r="AZ356" s="2289"/>
      <c r="BA356" s="2289"/>
      <c r="BB356" s="2289"/>
      <c r="BC356" s="2289"/>
      <c r="BD356" s="2289"/>
      <c r="BE356" s="2289"/>
      <c r="BF356" s="2289"/>
      <c r="BG356" s="2289"/>
      <c r="BH356" s="2289"/>
      <c r="BI356" s="2289"/>
      <c r="BJ356" s="2289"/>
      <c r="BK356" s="2289"/>
      <c r="BL356" s="2289"/>
      <c r="BM356" s="2289"/>
      <c r="BN356" s="2289"/>
      <c r="BO356" s="2289"/>
      <c r="BP356" s="2289"/>
      <c r="BQ356" s="2289"/>
      <c r="BR356" s="2289"/>
    </row>
    <row r="357" spans="1:70" ht="15.75" customHeight="1">
      <c r="A357" s="2289"/>
      <c r="B357" s="2289"/>
      <c r="C357" s="2289"/>
      <c r="D357" s="2289"/>
      <c r="E357" s="2289"/>
      <c r="F357" s="2289"/>
      <c r="G357" s="2290"/>
      <c r="H357" s="2289"/>
      <c r="I357" s="2289"/>
      <c r="J357" s="2290"/>
      <c r="K357" s="2289"/>
      <c r="L357" s="2289"/>
      <c r="M357" s="2290"/>
      <c r="N357" s="2290"/>
      <c r="O357" s="2290"/>
      <c r="P357" s="2290"/>
      <c r="Q357" s="2289"/>
      <c r="R357" s="2289"/>
      <c r="S357" s="2289"/>
      <c r="T357" s="2291"/>
      <c r="U357" s="2289"/>
      <c r="V357" s="2289"/>
      <c r="W357" s="2289"/>
      <c r="X357" s="2292"/>
      <c r="Y357" s="2292"/>
      <c r="Z357" s="2289"/>
      <c r="AA357" s="2289"/>
      <c r="AB357" s="2289"/>
      <c r="AC357" s="2289"/>
      <c r="AD357" s="2293"/>
      <c r="AE357" s="2293"/>
      <c r="AF357" s="2293"/>
      <c r="AG357" s="2293"/>
      <c r="AH357" s="2289"/>
      <c r="AI357" s="2289"/>
      <c r="AJ357" s="2294"/>
      <c r="AK357" s="2294"/>
      <c r="AL357" s="2289"/>
      <c r="AM357" s="2289"/>
      <c r="AN357" s="2289"/>
      <c r="AO357" s="2289"/>
      <c r="AP357" s="2289"/>
      <c r="AQ357" s="2289"/>
      <c r="AR357" s="2294"/>
      <c r="AS357" s="2294"/>
      <c r="AT357" s="2295"/>
      <c r="AU357" s="2295"/>
      <c r="AV357" s="2295"/>
      <c r="AW357" s="2295"/>
      <c r="AX357" s="2296"/>
      <c r="AY357" s="2289"/>
      <c r="AZ357" s="2289"/>
      <c r="BA357" s="2289"/>
      <c r="BB357" s="2289"/>
      <c r="BC357" s="2289"/>
      <c r="BD357" s="2289"/>
      <c r="BE357" s="2289"/>
      <c r="BF357" s="2289"/>
      <c r="BG357" s="2289"/>
      <c r="BH357" s="2289"/>
      <c r="BI357" s="2289"/>
      <c r="BJ357" s="2289"/>
      <c r="BK357" s="2289"/>
      <c r="BL357" s="2289"/>
      <c r="BM357" s="2289"/>
      <c r="BN357" s="2289"/>
      <c r="BO357" s="2289"/>
      <c r="BP357" s="2289"/>
      <c r="BQ357" s="2289"/>
      <c r="BR357" s="2289"/>
    </row>
    <row r="358" spans="1:70" ht="15.75" customHeight="1">
      <c r="A358" s="2289"/>
      <c r="B358" s="2289"/>
      <c r="C358" s="2289"/>
      <c r="D358" s="2289"/>
      <c r="E358" s="2289"/>
      <c r="F358" s="2289"/>
      <c r="G358" s="2290"/>
      <c r="H358" s="2289"/>
      <c r="I358" s="2289"/>
      <c r="J358" s="2290"/>
      <c r="K358" s="2289"/>
      <c r="L358" s="2289"/>
      <c r="M358" s="2290"/>
      <c r="N358" s="2290"/>
      <c r="O358" s="2290"/>
      <c r="P358" s="2290"/>
      <c r="Q358" s="2289"/>
      <c r="R358" s="2289"/>
      <c r="S358" s="2289"/>
      <c r="T358" s="2291"/>
      <c r="U358" s="2289"/>
      <c r="V358" s="2289"/>
      <c r="W358" s="2289"/>
      <c r="X358" s="2292"/>
      <c r="Y358" s="2292"/>
      <c r="Z358" s="2289"/>
      <c r="AA358" s="2289"/>
      <c r="AB358" s="2289"/>
      <c r="AC358" s="2289"/>
      <c r="AD358" s="2293"/>
      <c r="AE358" s="2293"/>
      <c r="AF358" s="2293"/>
      <c r="AG358" s="2293"/>
      <c r="AH358" s="2289"/>
      <c r="AI358" s="2289"/>
      <c r="AJ358" s="2294"/>
      <c r="AK358" s="2294"/>
      <c r="AL358" s="2289"/>
      <c r="AM358" s="2289"/>
      <c r="AN358" s="2289"/>
      <c r="AO358" s="2289"/>
      <c r="AP358" s="2289"/>
      <c r="AQ358" s="2289"/>
      <c r="AR358" s="2294"/>
      <c r="AS358" s="2294"/>
      <c r="AT358" s="2295"/>
      <c r="AU358" s="2295"/>
      <c r="AV358" s="2295"/>
      <c r="AW358" s="2295"/>
      <c r="AX358" s="2296"/>
      <c r="AY358" s="2289"/>
      <c r="AZ358" s="2289"/>
      <c r="BA358" s="2289"/>
      <c r="BB358" s="2289"/>
      <c r="BC358" s="2289"/>
      <c r="BD358" s="2289"/>
      <c r="BE358" s="2289"/>
      <c r="BF358" s="2289"/>
      <c r="BG358" s="2289"/>
      <c r="BH358" s="2289"/>
      <c r="BI358" s="2289"/>
      <c r="BJ358" s="2289"/>
      <c r="BK358" s="2289"/>
      <c r="BL358" s="2289"/>
      <c r="BM358" s="2289"/>
      <c r="BN358" s="2289"/>
      <c r="BO358" s="2289"/>
      <c r="BP358" s="2289"/>
      <c r="BQ358" s="2289"/>
      <c r="BR358" s="2289"/>
    </row>
    <row r="359" spans="1:70" ht="15.75" customHeight="1">
      <c r="A359" s="2289"/>
      <c r="B359" s="2289"/>
      <c r="C359" s="2289"/>
      <c r="D359" s="2289"/>
      <c r="E359" s="2289"/>
      <c r="F359" s="2289"/>
      <c r="G359" s="2290"/>
      <c r="H359" s="2289"/>
      <c r="I359" s="2289"/>
      <c r="J359" s="2290"/>
      <c r="K359" s="2289"/>
      <c r="L359" s="2289"/>
      <c r="M359" s="2290"/>
      <c r="N359" s="2290"/>
      <c r="O359" s="2290"/>
      <c r="P359" s="2290"/>
      <c r="Q359" s="2289"/>
      <c r="R359" s="2289"/>
      <c r="S359" s="2289"/>
      <c r="T359" s="2291"/>
      <c r="U359" s="2289"/>
      <c r="V359" s="2289"/>
      <c r="W359" s="2289"/>
      <c r="X359" s="2292"/>
      <c r="Y359" s="2292"/>
      <c r="Z359" s="2289"/>
      <c r="AA359" s="2289"/>
      <c r="AB359" s="2289"/>
      <c r="AC359" s="2289"/>
      <c r="AD359" s="2293"/>
      <c r="AE359" s="2293"/>
      <c r="AF359" s="2293"/>
      <c r="AG359" s="2293"/>
      <c r="AH359" s="2289"/>
      <c r="AI359" s="2289"/>
      <c r="AJ359" s="2294"/>
      <c r="AK359" s="2294"/>
      <c r="AL359" s="2289"/>
      <c r="AM359" s="2289"/>
      <c r="AN359" s="2289"/>
      <c r="AO359" s="2289"/>
      <c r="AP359" s="2289"/>
      <c r="AQ359" s="2289"/>
      <c r="AR359" s="2294"/>
      <c r="AS359" s="2294"/>
      <c r="AT359" s="2295"/>
      <c r="AU359" s="2295"/>
      <c r="AV359" s="2295"/>
      <c r="AW359" s="2295"/>
      <c r="AX359" s="2296"/>
      <c r="AY359" s="2289"/>
      <c r="AZ359" s="2289"/>
      <c r="BA359" s="2289"/>
      <c r="BB359" s="2289"/>
      <c r="BC359" s="2289"/>
      <c r="BD359" s="2289"/>
      <c r="BE359" s="2289"/>
      <c r="BF359" s="2289"/>
      <c r="BG359" s="2289"/>
      <c r="BH359" s="2289"/>
      <c r="BI359" s="2289"/>
      <c r="BJ359" s="2289"/>
      <c r="BK359" s="2289"/>
      <c r="BL359" s="2289"/>
      <c r="BM359" s="2289"/>
      <c r="BN359" s="2289"/>
      <c r="BO359" s="2289"/>
      <c r="BP359" s="2289"/>
      <c r="BQ359" s="2289"/>
      <c r="BR359" s="2289"/>
    </row>
    <row r="360" spans="1:70" ht="15.75" customHeight="1">
      <c r="A360" s="2289"/>
      <c r="B360" s="2289"/>
      <c r="C360" s="2289"/>
      <c r="D360" s="2289"/>
      <c r="E360" s="2289"/>
      <c r="F360" s="2289"/>
      <c r="G360" s="2290"/>
      <c r="H360" s="2289"/>
      <c r="I360" s="2289"/>
      <c r="J360" s="2290"/>
      <c r="K360" s="2289"/>
      <c r="L360" s="2289"/>
      <c r="M360" s="2290"/>
      <c r="N360" s="2290"/>
      <c r="O360" s="2290"/>
      <c r="P360" s="2290"/>
      <c r="Q360" s="2289"/>
      <c r="R360" s="2289"/>
      <c r="S360" s="2289"/>
      <c r="T360" s="2291"/>
      <c r="U360" s="2289"/>
      <c r="V360" s="2289"/>
      <c r="W360" s="2289"/>
      <c r="X360" s="2292"/>
      <c r="Y360" s="2292"/>
      <c r="Z360" s="2289"/>
      <c r="AA360" s="2289"/>
      <c r="AB360" s="2289"/>
      <c r="AC360" s="2289"/>
      <c r="AD360" s="2293"/>
      <c r="AE360" s="2293"/>
      <c r="AF360" s="2293"/>
      <c r="AG360" s="2293"/>
      <c r="AH360" s="2289"/>
      <c r="AI360" s="2289"/>
      <c r="AJ360" s="2294"/>
      <c r="AK360" s="2294"/>
      <c r="AL360" s="2289"/>
      <c r="AM360" s="2289"/>
      <c r="AN360" s="2289"/>
      <c r="AO360" s="2289"/>
      <c r="AP360" s="2289"/>
      <c r="AQ360" s="2289"/>
      <c r="AR360" s="2294"/>
      <c r="AS360" s="2294"/>
      <c r="AT360" s="2295"/>
      <c r="AU360" s="2295"/>
      <c r="AV360" s="2295"/>
      <c r="AW360" s="2295"/>
      <c r="AX360" s="2296"/>
      <c r="AY360" s="2289"/>
      <c r="AZ360" s="2289"/>
      <c r="BA360" s="2289"/>
      <c r="BB360" s="2289"/>
      <c r="BC360" s="2289"/>
      <c r="BD360" s="2289"/>
      <c r="BE360" s="2289"/>
      <c r="BF360" s="2289"/>
      <c r="BG360" s="2289"/>
      <c r="BH360" s="2289"/>
      <c r="BI360" s="2289"/>
      <c r="BJ360" s="2289"/>
      <c r="BK360" s="2289"/>
      <c r="BL360" s="2289"/>
      <c r="BM360" s="2289"/>
      <c r="BN360" s="2289"/>
      <c r="BO360" s="2289"/>
      <c r="BP360" s="2289"/>
      <c r="BQ360" s="2289"/>
      <c r="BR360" s="2289"/>
    </row>
    <row r="361" spans="1:70" ht="15.75" customHeight="1">
      <c r="A361" s="2289"/>
      <c r="B361" s="2289"/>
      <c r="C361" s="2289"/>
      <c r="D361" s="2289"/>
      <c r="E361" s="2289"/>
      <c r="F361" s="2289"/>
      <c r="G361" s="2290"/>
      <c r="H361" s="2289"/>
      <c r="I361" s="2289"/>
      <c r="J361" s="2290"/>
      <c r="K361" s="2289"/>
      <c r="L361" s="2289"/>
      <c r="M361" s="2290"/>
      <c r="N361" s="2290"/>
      <c r="O361" s="2290"/>
      <c r="P361" s="2290"/>
      <c r="Q361" s="2289"/>
      <c r="R361" s="2289"/>
      <c r="S361" s="2289"/>
      <c r="T361" s="2291"/>
      <c r="U361" s="2289"/>
      <c r="V361" s="2289"/>
      <c r="W361" s="2289"/>
      <c r="X361" s="2292"/>
      <c r="Y361" s="2292"/>
      <c r="Z361" s="2289"/>
      <c r="AA361" s="2289"/>
      <c r="AB361" s="2289"/>
      <c r="AC361" s="2289"/>
      <c r="AD361" s="2293"/>
      <c r="AE361" s="2293"/>
      <c r="AF361" s="2293"/>
      <c r="AG361" s="2293"/>
      <c r="AH361" s="2289"/>
      <c r="AI361" s="2289"/>
      <c r="AJ361" s="2294"/>
      <c r="AK361" s="2294"/>
      <c r="AL361" s="2289"/>
      <c r="AM361" s="2289"/>
      <c r="AN361" s="2289"/>
      <c r="AO361" s="2289"/>
      <c r="AP361" s="2289"/>
      <c r="AQ361" s="2289"/>
      <c r="AR361" s="2294"/>
      <c r="AS361" s="2294"/>
      <c r="AT361" s="2295"/>
      <c r="AU361" s="2295"/>
      <c r="AV361" s="2295"/>
      <c r="AW361" s="2295"/>
      <c r="AX361" s="2296"/>
      <c r="AY361" s="2289"/>
      <c r="AZ361" s="2289"/>
      <c r="BA361" s="2289"/>
      <c r="BB361" s="2289"/>
      <c r="BC361" s="2289"/>
      <c r="BD361" s="2289"/>
      <c r="BE361" s="2289"/>
      <c r="BF361" s="2289"/>
      <c r="BG361" s="2289"/>
      <c r="BH361" s="2289"/>
      <c r="BI361" s="2289"/>
      <c r="BJ361" s="2289"/>
      <c r="BK361" s="2289"/>
      <c r="BL361" s="2289"/>
      <c r="BM361" s="2289"/>
      <c r="BN361" s="2289"/>
      <c r="BO361" s="2289"/>
      <c r="BP361" s="2289"/>
      <c r="BQ361" s="2289"/>
      <c r="BR361" s="2289"/>
    </row>
    <row r="362" spans="1:70" ht="15.75" customHeight="1">
      <c r="A362" s="2289"/>
      <c r="B362" s="2289"/>
      <c r="C362" s="2289"/>
      <c r="D362" s="2289"/>
      <c r="E362" s="2289"/>
      <c r="F362" s="2289"/>
      <c r="G362" s="2290"/>
      <c r="H362" s="2289"/>
      <c r="I362" s="2289"/>
      <c r="J362" s="2290"/>
      <c r="K362" s="2289"/>
      <c r="L362" s="2289"/>
      <c r="M362" s="2290"/>
      <c r="N362" s="2290"/>
      <c r="O362" s="2290"/>
      <c r="P362" s="2290"/>
      <c r="Q362" s="2289"/>
      <c r="R362" s="2289"/>
      <c r="S362" s="2289"/>
      <c r="T362" s="2291"/>
      <c r="U362" s="2289"/>
      <c r="V362" s="2289"/>
      <c r="W362" s="2289"/>
      <c r="X362" s="2292"/>
      <c r="Y362" s="2292"/>
      <c r="Z362" s="2289"/>
      <c r="AA362" s="2289"/>
      <c r="AB362" s="2289"/>
      <c r="AC362" s="2289"/>
      <c r="AD362" s="2293"/>
      <c r="AE362" s="2293"/>
      <c r="AF362" s="2293"/>
      <c r="AG362" s="2293"/>
      <c r="AH362" s="2289"/>
      <c r="AI362" s="2289"/>
      <c r="AJ362" s="2294"/>
      <c r="AK362" s="2294"/>
      <c r="AL362" s="2289"/>
      <c r="AM362" s="2289"/>
      <c r="AN362" s="2289"/>
      <c r="AO362" s="2289"/>
      <c r="AP362" s="2289"/>
      <c r="AQ362" s="2289"/>
      <c r="AR362" s="2294"/>
      <c r="AS362" s="2294"/>
      <c r="AT362" s="2295"/>
      <c r="AU362" s="2295"/>
      <c r="AV362" s="2295"/>
      <c r="AW362" s="2295"/>
      <c r="AX362" s="2296"/>
      <c r="AY362" s="2289"/>
      <c r="AZ362" s="2289"/>
      <c r="BA362" s="2289"/>
      <c r="BB362" s="2289"/>
      <c r="BC362" s="2289"/>
      <c r="BD362" s="2289"/>
      <c r="BE362" s="2289"/>
      <c r="BF362" s="2289"/>
      <c r="BG362" s="2289"/>
      <c r="BH362" s="2289"/>
      <c r="BI362" s="2289"/>
      <c r="BJ362" s="2289"/>
      <c r="BK362" s="2289"/>
      <c r="BL362" s="2289"/>
      <c r="BM362" s="2289"/>
      <c r="BN362" s="2289"/>
      <c r="BO362" s="2289"/>
      <c r="BP362" s="2289"/>
      <c r="BQ362" s="2289"/>
      <c r="BR362" s="2289"/>
    </row>
    <row r="363" spans="1:70" ht="15.75" customHeight="1">
      <c r="A363" s="2289"/>
      <c r="B363" s="2289"/>
      <c r="C363" s="2289"/>
      <c r="D363" s="2289"/>
      <c r="E363" s="2289"/>
      <c r="F363" s="2289"/>
      <c r="G363" s="2290"/>
      <c r="H363" s="2289"/>
      <c r="I363" s="2289"/>
      <c r="J363" s="2290"/>
      <c r="K363" s="2289"/>
      <c r="L363" s="2289"/>
      <c r="M363" s="2290"/>
      <c r="N363" s="2290"/>
      <c r="O363" s="2290"/>
      <c r="P363" s="2290"/>
      <c r="Q363" s="2289"/>
      <c r="R363" s="2289"/>
      <c r="S363" s="2289"/>
      <c r="T363" s="2291"/>
      <c r="U363" s="2289"/>
      <c r="V363" s="2289"/>
      <c r="W363" s="2289"/>
      <c r="X363" s="2292"/>
      <c r="Y363" s="2292"/>
      <c r="Z363" s="2289"/>
      <c r="AA363" s="2289"/>
      <c r="AB363" s="2289"/>
      <c r="AC363" s="2289"/>
      <c r="AD363" s="2293"/>
      <c r="AE363" s="2293"/>
      <c r="AF363" s="2293"/>
      <c r="AG363" s="2293"/>
      <c r="AH363" s="2289"/>
      <c r="AI363" s="2289"/>
      <c r="AJ363" s="2294"/>
      <c r="AK363" s="2294"/>
      <c r="AL363" s="2289"/>
      <c r="AM363" s="2289"/>
      <c r="AN363" s="2289"/>
      <c r="AO363" s="2289"/>
      <c r="AP363" s="2289"/>
      <c r="AQ363" s="2289"/>
      <c r="AR363" s="2294"/>
      <c r="AS363" s="2294"/>
      <c r="AT363" s="2295"/>
      <c r="AU363" s="2295"/>
      <c r="AV363" s="2295"/>
      <c r="AW363" s="2295"/>
      <c r="AX363" s="2296"/>
      <c r="AY363" s="2289"/>
      <c r="AZ363" s="2289"/>
      <c r="BA363" s="2289"/>
      <c r="BB363" s="2289"/>
      <c r="BC363" s="2289"/>
      <c r="BD363" s="2289"/>
      <c r="BE363" s="2289"/>
      <c r="BF363" s="2289"/>
      <c r="BG363" s="2289"/>
      <c r="BH363" s="2289"/>
      <c r="BI363" s="2289"/>
      <c r="BJ363" s="2289"/>
      <c r="BK363" s="2289"/>
      <c r="BL363" s="2289"/>
      <c r="BM363" s="2289"/>
      <c r="BN363" s="2289"/>
      <c r="BO363" s="2289"/>
      <c r="BP363" s="2289"/>
      <c r="BQ363" s="2289"/>
      <c r="BR363" s="2289"/>
    </row>
    <row r="364" spans="1:70" ht="15.75" customHeight="1">
      <c r="A364" s="2289"/>
      <c r="B364" s="2289"/>
      <c r="C364" s="2289"/>
      <c r="D364" s="2289"/>
      <c r="E364" s="2289"/>
      <c r="F364" s="2289"/>
      <c r="G364" s="2290"/>
      <c r="H364" s="2289"/>
      <c r="I364" s="2289"/>
      <c r="J364" s="2290"/>
      <c r="K364" s="2289"/>
      <c r="L364" s="2289"/>
      <c r="M364" s="2290"/>
      <c r="N364" s="2290"/>
      <c r="O364" s="2290"/>
      <c r="P364" s="2290"/>
      <c r="Q364" s="2289"/>
      <c r="R364" s="2289"/>
      <c r="S364" s="2289"/>
      <c r="T364" s="2291"/>
      <c r="U364" s="2289"/>
      <c r="V364" s="2289"/>
      <c r="W364" s="2289"/>
      <c r="X364" s="2292"/>
      <c r="Y364" s="2292"/>
      <c r="Z364" s="2289"/>
      <c r="AA364" s="2289"/>
      <c r="AB364" s="2289"/>
      <c r="AC364" s="2289"/>
      <c r="AD364" s="2293"/>
      <c r="AE364" s="2293"/>
      <c r="AF364" s="2293"/>
      <c r="AG364" s="2293"/>
      <c r="AH364" s="2289"/>
      <c r="AI364" s="2289"/>
      <c r="AJ364" s="2294"/>
      <c r="AK364" s="2294"/>
      <c r="AL364" s="2289"/>
      <c r="AM364" s="2289"/>
      <c r="AN364" s="2289"/>
      <c r="AO364" s="2289"/>
      <c r="AP364" s="2289"/>
      <c r="AQ364" s="2289"/>
      <c r="AR364" s="2294"/>
      <c r="AS364" s="2294"/>
      <c r="AT364" s="2295"/>
      <c r="AU364" s="2295"/>
      <c r="AV364" s="2295"/>
      <c r="AW364" s="2295"/>
      <c r="AX364" s="2296"/>
      <c r="AY364" s="2289"/>
      <c r="AZ364" s="2289"/>
      <c r="BA364" s="2289"/>
      <c r="BB364" s="2289"/>
      <c r="BC364" s="2289"/>
      <c r="BD364" s="2289"/>
      <c r="BE364" s="2289"/>
      <c r="BF364" s="2289"/>
      <c r="BG364" s="2289"/>
      <c r="BH364" s="2289"/>
      <c r="BI364" s="2289"/>
      <c r="BJ364" s="2289"/>
      <c r="BK364" s="2289"/>
      <c r="BL364" s="2289"/>
      <c r="BM364" s="2289"/>
      <c r="BN364" s="2289"/>
      <c r="BO364" s="2289"/>
      <c r="BP364" s="2289"/>
      <c r="BQ364" s="2289"/>
      <c r="BR364" s="2289"/>
    </row>
    <row r="365" spans="1:70" ht="15.75" customHeight="1">
      <c r="A365" s="2289"/>
      <c r="B365" s="2289"/>
      <c r="C365" s="2289"/>
      <c r="D365" s="2289"/>
      <c r="E365" s="2289"/>
      <c r="F365" s="2289"/>
      <c r="G365" s="2290"/>
      <c r="H365" s="2289"/>
      <c r="I365" s="2289"/>
      <c r="J365" s="2290"/>
      <c r="K365" s="2289"/>
      <c r="L365" s="2289"/>
      <c r="M365" s="2290"/>
      <c r="N365" s="2290"/>
      <c r="O365" s="2290"/>
      <c r="P365" s="2290"/>
      <c r="Q365" s="2289"/>
      <c r="R365" s="2289"/>
      <c r="S365" s="2289"/>
      <c r="T365" s="2291"/>
      <c r="U365" s="2289"/>
      <c r="V365" s="2289"/>
      <c r="W365" s="2289"/>
      <c r="X365" s="2292"/>
      <c r="Y365" s="2292"/>
      <c r="Z365" s="2289"/>
      <c r="AA365" s="2289"/>
      <c r="AB365" s="2289"/>
      <c r="AC365" s="2289"/>
      <c r="AD365" s="2293"/>
      <c r="AE365" s="2293"/>
      <c r="AF365" s="2293"/>
      <c r="AG365" s="2293"/>
      <c r="AH365" s="2289"/>
      <c r="AI365" s="2289"/>
      <c r="AJ365" s="2294"/>
      <c r="AK365" s="2294"/>
      <c r="AL365" s="2289"/>
      <c r="AM365" s="2289"/>
      <c r="AN365" s="2289"/>
      <c r="AO365" s="2289"/>
      <c r="AP365" s="2289"/>
      <c r="AQ365" s="2289"/>
      <c r="AR365" s="2294"/>
      <c r="AS365" s="2294"/>
      <c r="AT365" s="2295"/>
      <c r="AU365" s="2295"/>
      <c r="AV365" s="2295"/>
      <c r="AW365" s="2295"/>
      <c r="AX365" s="2296"/>
      <c r="AY365" s="2289"/>
      <c r="AZ365" s="2289"/>
      <c r="BA365" s="2289"/>
      <c r="BB365" s="2289"/>
      <c r="BC365" s="2289"/>
      <c r="BD365" s="2289"/>
      <c r="BE365" s="2289"/>
      <c r="BF365" s="2289"/>
      <c r="BG365" s="2289"/>
      <c r="BH365" s="2289"/>
      <c r="BI365" s="2289"/>
      <c r="BJ365" s="2289"/>
      <c r="BK365" s="2289"/>
      <c r="BL365" s="2289"/>
      <c r="BM365" s="2289"/>
      <c r="BN365" s="2289"/>
      <c r="BO365" s="2289"/>
      <c r="BP365" s="2289"/>
      <c r="BQ365" s="2289"/>
      <c r="BR365" s="2289"/>
    </row>
    <row r="366" spans="1:70" ht="15.75" customHeight="1">
      <c r="A366" s="2289"/>
      <c r="B366" s="2289"/>
      <c r="C366" s="2289"/>
      <c r="D366" s="2289"/>
      <c r="E366" s="2289"/>
      <c r="F366" s="2289"/>
      <c r="G366" s="2290"/>
      <c r="H366" s="2289"/>
      <c r="I366" s="2289"/>
      <c r="J366" s="2290"/>
      <c r="K366" s="2289"/>
      <c r="L366" s="2289"/>
      <c r="M366" s="2290"/>
      <c r="N366" s="2290"/>
      <c r="O366" s="2290"/>
      <c r="P366" s="2290"/>
      <c r="Q366" s="2289"/>
      <c r="R366" s="2289"/>
      <c r="S366" s="2289"/>
      <c r="T366" s="2291"/>
      <c r="U366" s="2289"/>
      <c r="V366" s="2289"/>
      <c r="W366" s="2289"/>
      <c r="X366" s="2292"/>
      <c r="Y366" s="2292"/>
      <c r="Z366" s="2289"/>
      <c r="AA366" s="2289"/>
      <c r="AB366" s="2289"/>
      <c r="AC366" s="2289"/>
      <c r="AD366" s="2293"/>
      <c r="AE366" s="2293"/>
      <c r="AF366" s="2293"/>
      <c r="AG366" s="2293"/>
      <c r="AH366" s="2289"/>
      <c r="AI366" s="2289"/>
      <c r="AJ366" s="2294"/>
      <c r="AK366" s="2294"/>
      <c r="AL366" s="2289"/>
      <c r="AM366" s="2289"/>
      <c r="AN366" s="2289"/>
      <c r="AO366" s="2289"/>
      <c r="AP366" s="2289"/>
      <c r="AQ366" s="2289"/>
      <c r="AR366" s="2294"/>
      <c r="AS366" s="2294"/>
      <c r="AT366" s="2295"/>
      <c r="AU366" s="2295"/>
      <c r="AV366" s="2295"/>
      <c r="AW366" s="2295"/>
      <c r="AX366" s="2296"/>
      <c r="AY366" s="2289"/>
      <c r="AZ366" s="2289"/>
      <c r="BA366" s="2289"/>
      <c r="BB366" s="2289"/>
      <c r="BC366" s="2289"/>
      <c r="BD366" s="2289"/>
      <c r="BE366" s="2289"/>
      <c r="BF366" s="2289"/>
      <c r="BG366" s="2289"/>
      <c r="BH366" s="2289"/>
      <c r="BI366" s="2289"/>
      <c r="BJ366" s="2289"/>
      <c r="BK366" s="2289"/>
      <c r="BL366" s="2289"/>
      <c r="BM366" s="2289"/>
      <c r="BN366" s="2289"/>
      <c r="BO366" s="2289"/>
      <c r="BP366" s="2289"/>
      <c r="BQ366" s="2289"/>
      <c r="BR366" s="2289"/>
    </row>
    <row r="367" spans="1:70" ht="15.75" customHeight="1">
      <c r="A367" s="2289"/>
      <c r="B367" s="2289"/>
      <c r="C367" s="2289"/>
      <c r="D367" s="2289"/>
      <c r="E367" s="2289"/>
      <c r="F367" s="2289"/>
      <c r="G367" s="2290"/>
      <c r="H367" s="2289"/>
      <c r="I367" s="2289"/>
      <c r="J367" s="2290"/>
      <c r="K367" s="2289"/>
      <c r="L367" s="2289"/>
      <c r="M367" s="2290"/>
      <c r="N367" s="2290"/>
      <c r="O367" s="2290"/>
      <c r="P367" s="2290"/>
      <c r="Q367" s="2289"/>
      <c r="R367" s="2289"/>
      <c r="S367" s="2289"/>
      <c r="T367" s="2291"/>
      <c r="U367" s="2289"/>
      <c r="V367" s="2289"/>
      <c r="W367" s="2289"/>
      <c r="X367" s="2292"/>
      <c r="Y367" s="2292"/>
      <c r="Z367" s="2289"/>
      <c r="AA367" s="2289"/>
      <c r="AB367" s="2289"/>
      <c r="AC367" s="2289"/>
      <c r="AD367" s="2293"/>
      <c r="AE367" s="2293"/>
      <c r="AF367" s="2293"/>
      <c r="AG367" s="2293"/>
      <c r="AH367" s="2289"/>
      <c r="AI367" s="2289"/>
      <c r="AJ367" s="2294"/>
      <c r="AK367" s="2294"/>
      <c r="AL367" s="2289"/>
      <c r="AM367" s="2289"/>
      <c r="AN367" s="2289"/>
      <c r="AO367" s="2289"/>
      <c r="AP367" s="2289"/>
      <c r="AQ367" s="2289"/>
      <c r="AR367" s="2294"/>
      <c r="AS367" s="2294"/>
      <c r="AT367" s="2295"/>
      <c r="AU367" s="2295"/>
      <c r="AV367" s="2295"/>
      <c r="AW367" s="2295"/>
      <c r="AX367" s="2296"/>
      <c r="AY367" s="2289"/>
      <c r="AZ367" s="2289"/>
      <c r="BA367" s="2289"/>
      <c r="BB367" s="2289"/>
      <c r="BC367" s="2289"/>
      <c r="BD367" s="2289"/>
      <c r="BE367" s="2289"/>
      <c r="BF367" s="2289"/>
      <c r="BG367" s="2289"/>
      <c r="BH367" s="2289"/>
      <c r="BI367" s="2289"/>
      <c r="BJ367" s="2289"/>
      <c r="BK367" s="2289"/>
      <c r="BL367" s="2289"/>
      <c r="BM367" s="2289"/>
      <c r="BN367" s="2289"/>
      <c r="BO367" s="2289"/>
      <c r="BP367" s="2289"/>
      <c r="BQ367" s="2289"/>
      <c r="BR367" s="2289"/>
    </row>
    <row r="368" spans="1:70" ht="15.75" customHeight="1">
      <c r="A368" s="2289"/>
      <c r="B368" s="2289"/>
      <c r="C368" s="2289"/>
      <c r="D368" s="2289"/>
      <c r="E368" s="2289"/>
      <c r="F368" s="2289"/>
      <c r="G368" s="2290"/>
      <c r="H368" s="2289"/>
      <c r="I368" s="2289"/>
      <c r="J368" s="2290"/>
      <c r="K368" s="2289"/>
      <c r="L368" s="2289"/>
      <c r="M368" s="2290"/>
      <c r="N368" s="2290"/>
      <c r="O368" s="2290"/>
      <c r="P368" s="2290"/>
      <c r="Q368" s="2289"/>
      <c r="R368" s="2289"/>
      <c r="S368" s="2289"/>
      <c r="T368" s="2291"/>
      <c r="U368" s="2289"/>
      <c r="V368" s="2289"/>
      <c r="W368" s="2289"/>
      <c r="X368" s="2292"/>
      <c r="Y368" s="2292"/>
      <c r="Z368" s="2289"/>
      <c r="AA368" s="2289"/>
      <c r="AB368" s="2289"/>
      <c r="AC368" s="2289"/>
      <c r="AD368" s="2293"/>
      <c r="AE368" s="2293"/>
      <c r="AF368" s="2293"/>
      <c r="AG368" s="2293"/>
      <c r="AH368" s="2289"/>
      <c r="AI368" s="2289"/>
      <c r="AJ368" s="2294"/>
      <c r="AK368" s="2294"/>
      <c r="AL368" s="2289"/>
      <c r="AM368" s="2289"/>
      <c r="AN368" s="2289"/>
      <c r="AO368" s="2289"/>
      <c r="AP368" s="2289"/>
      <c r="AQ368" s="2289"/>
      <c r="AR368" s="2294"/>
      <c r="AS368" s="2294"/>
      <c r="AT368" s="2295"/>
      <c r="AU368" s="2295"/>
      <c r="AV368" s="2295"/>
      <c r="AW368" s="2295"/>
      <c r="AX368" s="2296"/>
      <c r="AY368" s="2289"/>
      <c r="AZ368" s="2289"/>
      <c r="BA368" s="2289"/>
      <c r="BB368" s="2289"/>
      <c r="BC368" s="2289"/>
      <c r="BD368" s="2289"/>
      <c r="BE368" s="2289"/>
      <c r="BF368" s="2289"/>
      <c r="BG368" s="2289"/>
      <c r="BH368" s="2289"/>
      <c r="BI368" s="2289"/>
      <c r="BJ368" s="2289"/>
      <c r="BK368" s="2289"/>
      <c r="BL368" s="2289"/>
      <c r="BM368" s="2289"/>
      <c r="BN368" s="2289"/>
      <c r="BO368" s="2289"/>
      <c r="BP368" s="2289"/>
      <c r="BQ368" s="2289"/>
      <c r="BR368" s="2289"/>
    </row>
    <row r="369" spans="1:70" ht="15.75" customHeight="1">
      <c r="A369" s="2289"/>
      <c r="B369" s="2289"/>
      <c r="C369" s="2289"/>
      <c r="D369" s="2289"/>
      <c r="E369" s="2289"/>
      <c r="F369" s="2289"/>
      <c r="G369" s="2290"/>
      <c r="H369" s="2289"/>
      <c r="I369" s="2289"/>
      <c r="J369" s="2290"/>
      <c r="K369" s="2289"/>
      <c r="L369" s="2289"/>
      <c r="M369" s="2290"/>
      <c r="N369" s="2290"/>
      <c r="O369" s="2290"/>
      <c r="P369" s="2290"/>
      <c r="Q369" s="2289"/>
      <c r="R369" s="2289"/>
      <c r="S369" s="2289"/>
      <c r="T369" s="2291"/>
      <c r="U369" s="2289"/>
      <c r="V369" s="2289"/>
      <c r="W369" s="2289"/>
      <c r="X369" s="2292"/>
      <c r="Y369" s="2292"/>
      <c r="Z369" s="2289"/>
      <c r="AA369" s="2289"/>
      <c r="AB369" s="2289"/>
      <c r="AC369" s="2289"/>
      <c r="AD369" s="2293"/>
      <c r="AE369" s="2293"/>
      <c r="AF369" s="2293"/>
      <c r="AG369" s="2293"/>
      <c r="AH369" s="2289"/>
      <c r="AI369" s="2289"/>
      <c r="AJ369" s="2294"/>
      <c r="AK369" s="2294"/>
      <c r="AL369" s="2289"/>
      <c r="AM369" s="2289"/>
      <c r="AN369" s="2289"/>
      <c r="AO369" s="2289"/>
      <c r="AP369" s="2289"/>
      <c r="AQ369" s="2289"/>
      <c r="AR369" s="2294"/>
      <c r="AS369" s="2294"/>
      <c r="AT369" s="2295"/>
      <c r="AU369" s="2295"/>
      <c r="AV369" s="2295"/>
      <c r="AW369" s="2295"/>
      <c r="AX369" s="2296"/>
      <c r="AY369" s="2289"/>
      <c r="AZ369" s="2289"/>
      <c r="BA369" s="2289"/>
      <c r="BB369" s="2289"/>
      <c r="BC369" s="2289"/>
      <c r="BD369" s="2289"/>
      <c r="BE369" s="2289"/>
      <c r="BF369" s="2289"/>
      <c r="BG369" s="2289"/>
      <c r="BH369" s="2289"/>
      <c r="BI369" s="2289"/>
      <c r="BJ369" s="2289"/>
      <c r="BK369" s="2289"/>
      <c r="BL369" s="2289"/>
      <c r="BM369" s="2289"/>
      <c r="BN369" s="2289"/>
      <c r="BO369" s="2289"/>
      <c r="BP369" s="2289"/>
      <c r="BQ369" s="2289"/>
      <c r="BR369" s="2289"/>
    </row>
    <row r="370" spans="1:70" ht="15.75" customHeight="1">
      <c r="A370" s="2289"/>
      <c r="B370" s="2289"/>
      <c r="C370" s="2289"/>
      <c r="D370" s="2289"/>
      <c r="E370" s="2289"/>
      <c r="F370" s="2289"/>
      <c r="G370" s="2290"/>
      <c r="H370" s="2289"/>
      <c r="I370" s="2289"/>
      <c r="J370" s="2290"/>
      <c r="K370" s="2289"/>
      <c r="L370" s="2289"/>
      <c r="M370" s="2290"/>
      <c r="N370" s="2290"/>
      <c r="O370" s="2290"/>
      <c r="P370" s="2290"/>
      <c r="Q370" s="2289"/>
      <c r="R370" s="2289"/>
      <c r="S370" s="2289"/>
      <c r="T370" s="2291"/>
      <c r="U370" s="2289"/>
      <c r="V370" s="2289"/>
      <c r="W370" s="2289"/>
      <c r="X370" s="2292"/>
      <c r="Y370" s="2292"/>
      <c r="Z370" s="2289"/>
      <c r="AA370" s="2289"/>
      <c r="AB370" s="2289"/>
      <c r="AC370" s="2289"/>
      <c r="AD370" s="2293"/>
      <c r="AE370" s="2293"/>
      <c r="AF370" s="2293"/>
      <c r="AG370" s="2293"/>
      <c r="AH370" s="2289"/>
      <c r="AI370" s="2289"/>
      <c r="AJ370" s="2294"/>
      <c r="AK370" s="2294"/>
      <c r="AL370" s="2289"/>
      <c r="AM370" s="2289"/>
      <c r="AN370" s="2289"/>
      <c r="AO370" s="2289"/>
      <c r="AP370" s="2289"/>
      <c r="AQ370" s="2289"/>
      <c r="AR370" s="2294"/>
      <c r="AS370" s="2294"/>
      <c r="AT370" s="2295"/>
      <c r="AU370" s="2295"/>
      <c r="AV370" s="2295"/>
      <c r="AW370" s="2295"/>
      <c r="AX370" s="2296"/>
      <c r="AY370" s="2289"/>
      <c r="AZ370" s="2289"/>
      <c r="BA370" s="2289"/>
      <c r="BB370" s="2289"/>
      <c r="BC370" s="2289"/>
      <c r="BD370" s="2289"/>
      <c r="BE370" s="2289"/>
      <c r="BF370" s="2289"/>
      <c r="BG370" s="2289"/>
      <c r="BH370" s="2289"/>
      <c r="BI370" s="2289"/>
      <c r="BJ370" s="2289"/>
      <c r="BK370" s="2289"/>
      <c r="BL370" s="2289"/>
      <c r="BM370" s="2289"/>
      <c r="BN370" s="2289"/>
      <c r="BO370" s="2289"/>
      <c r="BP370" s="2289"/>
      <c r="BQ370" s="2289"/>
      <c r="BR370" s="2289"/>
    </row>
    <row r="371" spans="1:70" ht="15.75" customHeight="1">
      <c r="A371" s="2289"/>
      <c r="B371" s="2289"/>
      <c r="C371" s="2289"/>
      <c r="D371" s="2289"/>
      <c r="E371" s="2289"/>
      <c r="F371" s="2289"/>
      <c r="G371" s="2290"/>
      <c r="H371" s="2289"/>
      <c r="I371" s="2289"/>
      <c r="J371" s="2290"/>
      <c r="K371" s="2289"/>
      <c r="L371" s="2289"/>
      <c r="M371" s="2290"/>
      <c r="N371" s="2290"/>
      <c r="O371" s="2290"/>
      <c r="P371" s="2290"/>
      <c r="Q371" s="2289"/>
      <c r="R371" s="2289"/>
      <c r="S371" s="2289"/>
      <c r="T371" s="2291"/>
      <c r="U371" s="2289"/>
      <c r="V371" s="2289"/>
      <c r="W371" s="2289"/>
      <c r="X371" s="2292"/>
      <c r="Y371" s="2292"/>
      <c r="Z371" s="2289"/>
      <c r="AA371" s="2289"/>
      <c r="AB371" s="2289"/>
      <c r="AC371" s="2289"/>
      <c r="AD371" s="2293"/>
      <c r="AE371" s="2293"/>
      <c r="AF371" s="2293"/>
      <c r="AG371" s="2293"/>
      <c r="AH371" s="2289"/>
      <c r="AI371" s="2289"/>
      <c r="AJ371" s="2294"/>
      <c r="AK371" s="2294"/>
      <c r="AL371" s="2289"/>
      <c r="AM371" s="2289"/>
      <c r="AN371" s="2289"/>
      <c r="AO371" s="2289"/>
      <c r="AP371" s="2289"/>
      <c r="AQ371" s="2289"/>
      <c r="AR371" s="2294"/>
      <c r="AS371" s="2294"/>
      <c r="AT371" s="2295"/>
      <c r="AU371" s="2295"/>
      <c r="AV371" s="2295"/>
      <c r="AW371" s="2295"/>
      <c r="AX371" s="2296"/>
      <c r="AY371" s="2289"/>
      <c r="AZ371" s="2289"/>
      <c r="BA371" s="2289"/>
      <c r="BB371" s="2289"/>
      <c r="BC371" s="2289"/>
      <c r="BD371" s="2289"/>
      <c r="BE371" s="2289"/>
      <c r="BF371" s="2289"/>
      <c r="BG371" s="2289"/>
      <c r="BH371" s="2289"/>
      <c r="BI371" s="2289"/>
      <c r="BJ371" s="2289"/>
      <c r="BK371" s="2289"/>
      <c r="BL371" s="2289"/>
      <c r="BM371" s="2289"/>
      <c r="BN371" s="2289"/>
      <c r="BO371" s="2289"/>
      <c r="BP371" s="2289"/>
      <c r="BQ371" s="2289"/>
      <c r="BR371" s="2289"/>
    </row>
    <row r="372" spans="1:70" ht="15.75" customHeight="1">
      <c r="A372" s="2289"/>
      <c r="B372" s="2289"/>
      <c r="C372" s="2289"/>
      <c r="D372" s="2289"/>
      <c r="E372" s="2289"/>
      <c r="F372" s="2289"/>
      <c r="G372" s="2290"/>
      <c r="H372" s="2289"/>
      <c r="I372" s="2289"/>
      <c r="J372" s="2290"/>
      <c r="K372" s="2289"/>
      <c r="L372" s="2289"/>
      <c r="M372" s="2290"/>
      <c r="N372" s="2290"/>
      <c r="O372" s="2290"/>
      <c r="P372" s="2290"/>
      <c r="Q372" s="2289"/>
      <c r="R372" s="2289"/>
      <c r="S372" s="2289"/>
      <c r="T372" s="2291"/>
      <c r="U372" s="2289"/>
      <c r="V372" s="2289"/>
      <c r="W372" s="2289"/>
      <c r="X372" s="2292"/>
      <c r="Y372" s="2292"/>
      <c r="Z372" s="2289"/>
      <c r="AA372" s="2289"/>
      <c r="AB372" s="2289"/>
      <c r="AC372" s="2289"/>
      <c r="AD372" s="2293"/>
      <c r="AE372" s="2293"/>
      <c r="AF372" s="2293"/>
      <c r="AG372" s="2293"/>
      <c r="AH372" s="2289"/>
      <c r="AI372" s="2289"/>
      <c r="AJ372" s="2294"/>
      <c r="AK372" s="2294"/>
      <c r="AL372" s="2289"/>
      <c r="AM372" s="2289"/>
      <c r="AN372" s="2289"/>
      <c r="AO372" s="2289"/>
      <c r="AP372" s="2289"/>
      <c r="AQ372" s="2289"/>
      <c r="AR372" s="2294"/>
      <c r="AS372" s="2294"/>
      <c r="AT372" s="2295"/>
      <c r="AU372" s="2295"/>
      <c r="AV372" s="2295"/>
      <c r="AW372" s="2295"/>
      <c r="AX372" s="2296"/>
      <c r="AY372" s="2289"/>
      <c r="AZ372" s="2289"/>
      <c r="BA372" s="2289"/>
      <c r="BB372" s="2289"/>
      <c r="BC372" s="2289"/>
      <c r="BD372" s="2289"/>
      <c r="BE372" s="2289"/>
      <c r="BF372" s="2289"/>
      <c r="BG372" s="2289"/>
      <c r="BH372" s="2289"/>
      <c r="BI372" s="2289"/>
      <c r="BJ372" s="2289"/>
      <c r="BK372" s="2289"/>
      <c r="BL372" s="2289"/>
      <c r="BM372" s="2289"/>
      <c r="BN372" s="2289"/>
      <c r="BO372" s="2289"/>
      <c r="BP372" s="2289"/>
      <c r="BQ372" s="2289"/>
      <c r="BR372" s="2289"/>
    </row>
    <row r="373" spans="1:70" ht="15.75" customHeight="1">
      <c r="A373" s="2289"/>
      <c r="B373" s="2289"/>
      <c r="C373" s="2289"/>
      <c r="D373" s="2289"/>
      <c r="E373" s="2289"/>
      <c r="F373" s="2289"/>
      <c r="G373" s="2290"/>
      <c r="H373" s="2289"/>
      <c r="I373" s="2289"/>
      <c r="J373" s="2290"/>
      <c r="K373" s="2289"/>
      <c r="L373" s="2289"/>
      <c r="M373" s="2290"/>
      <c r="N373" s="2290"/>
      <c r="O373" s="2290"/>
      <c r="P373" s="2290"/>
      <c r="Q373" s="2289"/>
      <c r="R373" s="2289"/>
      <c r="S373" s="2289"/>
      <c r="T373" s="2291"/>
      <c r="U373" s="2289"/>
      <c r="V373" s="2289"/>
      <c r="W373" s="2289"/>
      <c r="X373" s="2292"/>
      <c r="Y373" s="2292"/>
      <c r="Z373" s="2289"/>
      <c r="AA373" s="2289"/>
      <c r="AB373" s="2289"/>
      <c r="AC373" s="2289"/>
      <c r="AD373" s="2293"/>
      <c r="AE373" s="2293"/>
      <c r="AF373" s="2293"/>
      <c r="AG373" s="2293"/>
      <c r="AH373" s="2289"/>
      <c r="AI373" s="2289"/>
      <c r="AJ373" s="2294"/>
      <c r="AK373" s="2294"/>
      <c r="AL373" s="2289"/>
      <c r="AM373" s="2289"/>
      <c r="AN373" s="2289"/>
      <c r="AO373" s="2289"/>
      <c r="AP373" s="2289"/>
      <c r="AQ373" s="2289"/>
      <c r="AR373" s="2294"/>
      <c r="AS373" s="2294"/>
      <c r="AT373" s="2295"/>
      <c r="AU373" s="2295"/>
      <c r="AV373" s="2295"/>
      <c r="AW373" s="2295"/>
      <c r="AX373" s="2296"/>
      <c r="AY373" s="2289"/>
      <c r="AZ373" s="2289"/>
      <c r="BA373" s="2289"/>
      <c r="BB373" s="2289"/>
      <c r="BC373" s="2289"/>
      <c r="BD373" s="2289"/>
      <c r="BE373" s="2289"/>
      <c r="BF373" s="2289"/>
      <c r="BG373" s="2289"/>
      <c r="BH373" s="2289"/>
      <c r="BI373" s="2289"/>
      <c r="BJ373" s="2289"/>
      <c r="BK373" s="2289"/>
      <c r="BL373" s="2289"/>
      <c r="BM373" s="2289"/>
      <c r="BN373" s="2289"/>
      <c r="BO373" s="2289"/>
      <c r="BP373" s="2289"/>
      <c r="BQ373" s="2289"/>
      <c r="BR373" s="2289"/>
    </row>
    <row r="374" spans="1:70" ht="15.75" customHeight="1">
      <c r="A374" s="2289"/>
      <c r="B374" s="2289"/>
      <c r="C374" s="2289"/>
      <c r="D374" s="2289"/>
      <c r="E374" s="2289"/>
      <c r="F374" s="2289"/>
      <c r="G374" s="2290"/>
      <c r="H374" s="2289"/>
      <c r="I374" s="2289"/>
      <c r="J374" s="2290"/>
      <c r="K374" s="2289"/>
      <c r="L374" s="2289"/>
      <c r="M374" s="2290"/>
      <c r="N374" s="2290"/>
      <c r="O374" s="2290"/>
      <c r="P374" s="2290"/>
      <c r="Q374" s="2289"/>
      <c r="R374" s="2289"/>
      <c r="S374" s="2289"/>
      <c r="T374" s="2291"/>
      <c r="U374" s="2289"/>
      <c r="V374" s="2289"/>
      <c r="W374" s="2289"/>
      <c r="X374" s="2292"/>
      <c r="Y374" s="2292"/>
      <c r="Z374" s="2289"/>
      <c r="AA374" s="2289"/>
      <c r="AB374" s="2289"/>
      <c r="AC374" s="2289"/>
      <c r="AD374" s="2293"/>
      <c r="AE374" s="2293"/>
      <c r="AF374" s="2293"/>
      <c r="AG374" s="2293"/>
      <c r="AH374" s="2289"/>
      <c r="AI374" s="2289"/>
      <c r="AJ374" s="2294"/>
      <c r="AK374" s="2294"/>
      <c r="AL374" s="2289"/>
      <c r="AM374" s="2289"/>
      <c r="AN374" s="2289"/>
      <c r="AO374" s="2289"/>
      <c r="AP374" s="2289"/>
      <c r="AQ374" s="2289"/>
      <c r="AR374" s="2294"/>
      <c r="AS374" s="2294"/>
      <c r="AT374" s="2295"/>
      <c r="AU374" s="2295"/>
      <c r="AV374" s="2295"/>
      <c r="AW374" s="2295"/>
      <c r="AX374" s="2296"/>
      <c r="AY374" s="2289"/>
      <c r="AZ374" s="2289"/>
      <c r="BA374" s="2289"/>
      <c r="BB374" s="2289"/>
      <c r="BC374" s="2289"/>
      <c r="BD374" s="2289"/>
      <c r="BE374" s="2289"/>
      <c r="BF374" s="2289"/>
      <c r="BG374" s="2289"/>
      <c r="BH374" s="2289"/>
      <c r="BI374" s="2289"/>
      <c r="BJ374" s="2289"/>
      <c r="BK374" s="2289"/>
      <c r="BL374" s="2289"/>
      <c r="BM374" s="2289"/>
      <c r="BN374" s="2289"/>
      <c r="BO374" s="2289"/>
      <c r="BP374" s="2289"/>
      <c r="BQ374" s="2289"/>
      <c r="BR374" s="2289"/>
    </row>
    <row r="375" spans="1:70" ht="15.75" customHeight="1">
      <c r="A375" s="2289"/>
      <c r="B375" s="2289"/>
      <c r="C375" s="2289"/>
      <c r="D375" s="2289"/>
      <c r="E375" s="2289"/>
      <c r="F375" s="2289"/>
      <c r="G375" s="2290"/>
      <c r="H375" s="2289"/>
      <c r="I375" s="2289"/>
      <c r="J375" s="2290"/>
      <c r="K375" s="2289"/>
      <c r="L375" s="2289"/>
      <c r="M375" s="2290"/>
      <c r="N375" s="2290"/>
      <c r="O375" s="2290"/>
      <c r="P375" s="2290"/>
      <c r="Q375" s="2289"/>
      <c r="R375" s="2289"/>
      <c r="S375" s="2289"/>
      <c r="T375" s="2291"/>
      <c r="U375" s="2289"/>
      <c r="V375" s="2289"/>
      <c r="W375" s="2289"/>
      <c r="X375" s="2292"/>
      <c r="Y375" s="2292"/>
      <c r="Z375" s="2289"/>
      <c r="AA375" s="2289"/>
      <c r="AB375" s="2289"/>
      <c r="AC375" s="2289"/>
      <c r="AD375" s="2293"/>
      <c r="AE375" s="2293"/>
      <c r="AF375" s="2293"/>
      <c r="AG375" s="2293"/>
      <c r="AH375" s="2289"/>
      <c r="AI375" s="2289"/>
      <c r="AJ375" s="2294"/>
      <c r="AK375" s="2294"/>
      <c r="AL375" s="2289"/>
      <c r="AM375" s="2289"/>
      <c r="AN375" s="2289"/>
      <c r="AO375" s="2289"/>
      <c r="AP375" s="2289"/>
      <c r="AQ375" s="2289"/>
      <c r="AR375" s="2294"/>
      <c r="AS375" s="2294"/>
      <c r="AT375" s="2295"/>
      <c r="AU375" s="2295"/>
      <c r="AV375" s="2295"/>
      <c r="AW375" s="2295"/>
      <c r="AX375" s="2296"/>
      <c r="AY375" s="2289"/>
      <c r="AZ375" s="2289"/>
      <c r="BA375" s="2289"/>
      <c r="BB375" s="2289"/>
      <c r="BC375" s="2289"/>
      <c r="BD375" s="2289"/>
      <c r="BE375" s="2289"/>
      <c r="BF375" s="2289"/>
      <c r="BG375" s="2289"/>
      <c r="BH375" s="2289"/>
      <c r="BI375" s="2289"/>
      <c r="BJ375" s="2289"/>
      <c r="BK375" s="2289"/>
      <c r="BL375" s="2289"/>
      <c r="BM375" s="2289"/>
      <c r="BN375" s="2289"/>
      <c r="BO375" s="2289"/>
      <c r="BP375" s="2289"/>
      <c r="BQ375" s="2289"/>
      <c r="BR375" s="2289"/>
    </row>
    <row r="376" spans="1:70" ht="15.75" customHeight="1">
      <c r="A376" s="2289"/>
      <c r="B376" s="2289"/>
      <c r="C376" s="2289"/>
      <c r="D376" s="2289"/>
      <c r="E376" s="2289"/>
      <c r="F376" s="2289"/>
      <c r="G376" s="2290"/>
      <c r="H376" s="2289"/>
      <c r="I376" s="2289"/>
      <c r="J376" s="2290"/>
      <c r="K376" s="2289"/>
      <c r="L376" s="2289"/>
      <c r="M376" s="2290"/>
      <c r="N376" s="2290"/>
      <c r="O376" s="2290"/>
      <c r="P376" s="2290"/>
      <c r="Q376" s="2289"/>
      <c r="R376" s="2289"/>
      <c r="S376" s="2289"/>
      <c r="T376" s="2291"/>
      <c r="U376" s="2289"/>
      <c r="V376" s="2289"/>
      <c r="W376" s="2289"/>
      <c r="X376" s="2292"/>
      <c r="Y376" s="2292"/>
      <c r="Z376" s="2289"/>
      <c r="AA376" s="2289"/>
      <c r="AB376" s="2289"/>
      <c r="AC376" s="2289"/>
      <c r="AD376" s="2293"/>
      <c r="AE376" s="2293"/>
      <c r="AF376" s="2293"/>
      <c r="AG376" s="2293"/>
      <c r="AH376" s="2289"/>
      <c r="AI376" s="2289"/>
      <c r="AJ376" s="2294"/>
      <c r="AK376" s="2294"/>
      <c r="AL376" s="2289"/>
      <c r="AM376" s="2289"/>
      <c r="AN376" s="2289"/>
      <c r="AO376" s="2289"/>
      <c r="AP376" s="2289"/>
      <c r="AQ376" s="2289"/>
      <c r="AR376" s="2294"/>
      <c r="AS376" s="2294"/>
      <c r="AT376" s="2295"/>
      <c r="AU376" s="2295"/>
      <c r="AV376" s="2295"/>
      <c r="AW376" s="2295"/>
      <c r="AX376" s="2296"/>
      <c r="AY376" s="2289"/>
      <c r="AZ376" s="2289"/>
      <c r="BA376" s="2289"/>
      <c r="BB376" s="2289"/>
      <c r="BC376" s="2289"/>
      <c r="BD376" s="2289"/>
      <c r="BE376" s="2289"/>
      <c r="BF376" s="2289"/>
      <c r="BG376" s="2289"/>
      <c r="BH376" s="2289"/>
      <c r="BI376" s="2289"/>
      <c r="BJ376" s="2289"/>
      <c r="BK376" s="2289"/>
      <c r="BL376" s="2289"/>
      <c r="BM376" s="2289"/>
      <c r="BN376" s="2289"/>
      <c r="BO376" s="2289"/>
      <c r="BP376" s="2289"/>
      <c r="BQ376" s="2289"/>
      <c r="BR376" s="2289"/>
    </row>
    <row r="377" spans="1:70" ht="15.75" customHeight="1">
      <c r="A377" s="2289"/>
      <c r="B377" s="2289"/>
      <c r="C377" s="2289"/>
      <c r="D377" s="2289"/>
      <c r="E377" s="2289"/>
      <c r="F377" s="2289"/>
      <c r="G377" s="2290"/>
      <c r="H377" s="2289"/>
      <c r="I377" s="2289"/>
      <c r="J377" s="2290"/>
      <c r="K377" s="2289"/>
      <c r="L377" s="2289"/>
      <c r="M377" s="2290"/>
      <c r="N377" s="2290"/>
      <c r="O377" s="2290"/>
      <c r="P377" s="2290"/>
      <c r="Q377" s="2289"/>
      <c r="R377" s="2289"/>
      <c r="S377" s="2289"/>
      <c r="T377" s="2291"/>
      <c r="U377" s="2289"/>
      <c r="V377" s="2289"/>
      <c r="W377" s="2289"/>
      <c r="X377" s="2292"/>
      <c r="Y377" s="2292"/>
      <c r="Z377" s="2289"/>
      <c r="AA377" s="2289"/>
      <c r="AB377" s="2289"/>
      <c r="AC377" s="2289"/>
      <c r="AD377" s="2293"/>
      <c r="AE377" s="2293"/>
      <c r="AF377" s="2293"/>
      <c r="AG377" s="2293"/>
      <c r="AH377" s="2289"/>
      <c r="AI377" s="2289"/>
      <c r="AJ377" s="2294"/>
      <c r="AK377" s="2294"/>
      <c r="AL377" s="2289"/>
      <c r="AM377" s="2289"/>
      <c r="AN377" s="2289"/>
      <c r="AO377" s="2289"/>
      <c r="AP377" s="2289"/>
      <c r="AQ377" s="2289"/>
      <c r="AR377" s="2294"/>
      <c r="AS377" s="2294"/>
      <c r="AT377" s="2295"/>
      <c r="AU377" s="2295"/>
      <c r="AV377" s="2295"/>
      <c r="AW377" s="2295"/>
      <c r="AX377" s="2296"/>
      <c r="AY377" s="2289"/>
      <c r="AZ377" s="2289"/>
      <c r="BA377" s="2289"/>
      <c r="BB377" s="2289"/>
      <c r="BC377" s="2289"/>
      <c r="BD377" s="2289"/>
      <c r="BE377" s="2289"/>
      <c r="BF377" s="2289"/>
      <c r="BG377" s="2289"/>
      <c r="BH377" s="2289"/>
      <c r="BI377" s="2289"/>
      <c r="BJ377" s="2289"/>
      <c r="BK377" s="2289"/>
      <c r="BL377" s="2289"/>
      <c r="BM377" s="2289"/>
      <c r="BN377" s="2289"/>
      <c r="BO377" s="2289"/>
      <c r="BP377" s="2289"/>
      <c r="BQ377" s="2289"/>
      <c r="BR377" s="2289"/>
    </row>
    <row r="378" spans="1:70" ht="15.75" customHeight="1">
      <c r="A378" s="2289"/>
      <c r="B378" s="2289"/>
      <c r="C378" s="2289"/>
      <c r="D378" s="2289"/>
      <c r="E378" s="2289"/>
      <c r="F378" s="2289"/>
      <c r="G378" s="2290"/>
      <c r="H378" s="2289"/>
      <c r="I378" s="2289"/>
      <c r="J378" s="2290"/>
      <c r="K378" s="2289"/>
      <c r="L378" s="2289"/>
      <c r="M378" s="2290"/>
      <c r="N378" s="2290"/>
      <c r="O378" s="2290"/>
      <c r="P378" s="2290"/>
      <c r="Q378" s="2289"/>
      <c r="R378" s="2289"/>
      <c r="S378" s="2289"/>
      <c r="T378" s="2291"/>
      <c r="U378" s="2289"/>
      <c r="V378" s="2289"/>
      <c r="W378" s="2289"/>
      <c r="X378" s="2292"/>
      <c r="Y378" s="2292"/>
      <c r="Z378" s="2289"/>
      <c r="AA378" s="2289"/>
      <c r="AB378" s="2289"/>
      <c r="AC378" s="2289"/>
      <c r="AD378" s="2293"/>
      <c r="AE378" s="2293"/>
      <c r="AF378" s="2293"/>
      <c r="AG378" s="2293"/>
      <c r="AH378" s="2289"/>
      <c r="AI378" s="2289"/>
      <c r="AJ378" s="2294"/>
      <c r="AK378" s="2294"/>
      <c r="AL378" s="2289"/>
      <c r="AM378" s="2289"/>
      <c r="AN378" s="2289"/>
      <c r="AO378" s="2289"/>
      <c r="AP378" s="2289"/>
      <c r="AQ378" s="2289"/>
      <c r="AR378" s="2294"/>
      <c r="AS378" s="2294"/>
      <c r="AT378" s="2295"/>
      <c r="AU378" s="2295"/>
      <c r="AV378" s="2295"/>
      <c r="AW378" s="2295"/>
      <c r="AX378" s="2296"/>
      <c r="AY378" s="2289"/>
      <c r="AZ378" s="2289"/>
      <c r="BA378" s="2289"/>
      <c r="BB378" s="2289"/>
      <c r="BC378" s="2289"/>
      <c r="BD378" s="2289"/>
      <c r="BE378" s="2289"/>
      <c r="BF378" s="2289"/>
      <c r="BG378" s="2289"/>
      <c r="BH378" s="2289"/>
      <c r="BI378" s="2289"/>
      <c r="BJ378" s="2289"/>
      <c r="BK378" s="2289"/>
      <c r="BL378" s="2289"/>
      <c r="BM378" s="2289"/>
      <c r="BN378" s="2289"/>
      <c r="BO378" s="2289"/>
      <c r="BP378" s="2289"/>
      <c r="BQ378" s="2289"/>
      <c r="BR378" s="2289"/>
    </row>
    <row r="379" spans="1:70" ht="15.75" customHeight="1">
      <c r="A379" s="2289"/>
      <c r="B379" s="2289"/>
      <c r="C379" s="2289"/>
      <c r="D379" s="2289"/>
      <c r="E379" s="2289"/>
      <c r="F379" s="2289"/>
      <c r="G379" s="2290"/>
      <c r="H379" s="2289"/>
      <c r="I379" s="2289"/>
      <c r="J379" s="2290"/>
      <c r="K379" s="2289"/>
      <c r="L379" s="2289"/>
      <c r="M379" s="2290"/>
      <c r="N379" s="2290"/>
      <c r="O379" s="2290"/>
      <c r="P379" s="2290"/>
      <c r="Q379" s="2289"/>
      <c r="R379" s="2289"/>
      <c r="S379" s="2289"/>
      <c r="T379" s="2291"/>
      <c r="U379" s="2289"/>
      <c r="V379" s="2289"/>
      <c r="W379" s="2289"/>
      <c r="X379" s="2292"/>
      <c r="Y379" s="2292"/>
      <c r="Z379" s="2289"/>
      <c r="AA379" s="2289"/>
      <c r="AB379" s="2289"/>
      <c r="AC379" s="2289"/>
      <c r="AD379" s="2293"/>
      <c r="AE379" s="2293"/>
      <c r="AF379" s="2293"/>
      <c r="AG379" s="2293"/>
      <c r="AH379" s="2289"/>
      <c r="AI379" s="2289"/>
      <c r="AJ379" s="2294"/>
      <c r="AK379" s="2294"/>
      <c r="AL379" s="2289"/>
      <c r="AM379" s="2289"/>
      <c r="AN379" s="2289"/>
      <c r="AO379" s="2289"/>
      <c r="AP379" s="2289"/>
      <c r="AQ379" s="2289"/>
      <c r="AR379" s="2294"/>
      <c r="AS379" s="2294"/>
      <c r="AT379" s="2295"/>
      <c r="AU379" s="2295"/>
      <c r="AV379" s="2295"/>
      <c r="AW379" s="2295"/>
      <c r="AX379" s="2296"/>
      <c r="AY379" s="2289"/>
      <c r="AZ379" s="2289"/>
      <c r="BA379" s="2289"/>
      <c r="BB379" s="2289"/>
      <c r="BC379" s="2289"/>
      <c r="BD379" s="2289"/>
      <c r="BE379" s="2289"/>
      <c r="BF379" s="2289"/>
      <c r="BG379" s="2289"/>
      <c r="BH379" s="2289"/>
      <c r="BI379" s="2289"/>
      <c r="BJ379" s="2289"/>
      <c r="BK379" s="2289"/>
      <c r="BL379" s="2289"/>
      <c r="BM379" s="2289"/>
      <c r="BN379" s="2289"/>
      <c r="BO379" s="2289"/>
      <c r="BP379" s="2289"/>
      <c r="BQ379" s="2289"/>
      <c r="BR379" s="2289"/>
    </row>
    <row r="380" spans="1:70" ht="15.75" customHeight="1">
      <c r="A380" s="2289"/>
      <c r="B380" s="2289"/>
      <c r="C380" s="2289"/>
      <c r="D380" s="2289"/>
      <c r="E380" s="2289"/>
      <c r="F380" s="2289"/>
      <c r="G380" s="2290"/>
      <c r="H380" s="2289"/>
      <c r="I380" s="2289"/>
      <c r="J380" s="2290"/>
      <c r="K380" s="2289"/>
      <c r="L380" s="2289"/>
      <c r="M380" s="2290"/>
      <c r="N380" s="2290"/>
      <c r="O380" s="2290"/>
      <c r="P380" s="2290"/>
      <c r="Q380" s="2289"/>
      <c r="R380" s="2289"/>
      <c r="S380" s="2289"/>
      <c r="T380" s="2291"/>
      <c r="U380" s="2289"/>
      <c r="V380" s="2289"/>
      <c r="W380" s="2289"/>
      <c r="X380" s="2292"/>
      <c r="Y380" s="2292"/>
      <c r="Z380" s="2289"/>
      <c r="AA380" s="2289"/>
      <c r="AB380" s="2289"/>
      <c r="AC380" s="2289"/>
      <c r="AD380" s="2293"/>
      <c r="AE380" s="2293"/>
      <c r="AF380" s="2293"/>
      <c r="AG380" s="2293"/>
      <c r="AH380" s="2289"/>
      <c r="AI380" s="2289"/>
      <c r="AJ380" s="2294"/>
      <c r="AK380" s="2294"/>
      <c r="AL380" s="2289"/>
      <c r="AM380" s="2289"/>
      <c r="AN380" s="2289"/>
      <c r="AO380" s="2289"/>
      <c r="AP380" s="2289"/>
      <c r="AQ380" s="2289"/>
      <c r="AR380" s="2294"/>
      <c r="AS380" s="2294"/>
      <c r="AT380" s="2295"/>
      <c r="AU380" s="2295"/>
      <c r="AV380" s="2295"/>
      <c r="AW380" s="2295"/>
      <c r="AX380" s="2296"/>
      <c r="AY380" s="2289"/>
      <c r="AZ380" s="2289"/>
      <c r="BA380" s="2289"/>
      <c r="BB380" s="2289"/>
      <c r="BC380" s="2289"/>
      <c r="BD380" s="2289"/>
      <c r="BE380" s="2289"/>
      <c r="BF380" s="2289"/>
      <c r="BG380" s="2289"/>
      <c r="BH380" s="2289"/>
      <c r="BI380" s="2289"/>
      <c r="BJ380" s="2289"/>
      <c r="BK380" s="2289"/>
      <c r="BL380" s="2289"/>
      <c r="BM380" s="2289"/>
      <c r="BN380" s="2289"/>
      <c r="BO380" s="2289"/>
      <c r="BP380" s="2289"/>
      <c r="BQ380" s="2289"/>
      <c r="BR380" s="2289"/>
    </row>
    <row r="381" spans="1:70" ht="15.75" customHeight="1">
      <c r="A381" s="2289"/>
      <c r="B381" s="2289"/>
      <c r="C381" s="2289"/>
      <c r="D381" s="2289"/>
      <c r="E381" s="2289"/>
      <c r="F381" s="2289"/>
      <c r="G381" s="2290"/>
      <c r="H381" s="2289"/>
      <c r="I381" s="2289"/>
      <c r="J381" s="2290"/>
      <c r="K381" s="2289"/>
      <c r="L381" s="2289"/>
      <c r="M381" s="2290"/>
      <c r="N381" s="2290"/>
      <c r="O381" s="2290"/>
      <c r="P381" s="2290"/>
      <c r="Q381" s="2289"/>
      <c r="R381" s="2289"/>
      <c r="S381" s="2289"/>
      <c r="T381" s="2291"/>
      <c r="U381" s="2289"/>
      <c r="V381" s="2289"/>
      <c r="W381" s="2289"/>
      <c r="X381" s="2292"/>
      <c r="Y381" s="2292"/>
      <c r="Z381" s="2289"/>
      <c r="AA381" s="2289"/>
      <c r="AB381" s="2289"/>
      <c r="AC381" s="2289"/>
      <c r="AD381" s="2293"/>
      <c r="AE381" s="2293"/>
      <c r="AF381" s="2293"/>
      <c r="AG381" s="2293"/>
      <c r="AH381" s="2289"/>
      <c r="AI381" s="2289"/>
      <c r="AJ381" s="2294"/>
      <c r="AK381" s="2294"/>
      <c r="AL381" s="2289"/>
      <c r="AM381" s="2289"/>
      <c r="AN381" s="2289"/>
      <c r="AO381" s="2289"/>
      <c r="AP381" s="2289"/>
      <c r="AQ381" s="2289"/>
      <c r="AR381" s="2294"/>
      <c r="AS381" s="2294"/>
      <c r="AT381" s="2295"/>
      <c r="AU381" s="2295"/>
      <c r="AV381" s="2295"/>
      <c r="AW381" s="2295"/>
      <c r="AX381" s="2296"/>
      <c r="AY381" s="2289"/>
      <c r="AZ381" s="2289"/>
      <c r="BA381" s="2289"/>
      <c r="BB381" s="2289"/>
      <c r="BC381" s="2289"/>
      <c r="BD381" s="2289"/>
      <c r="BE381" s="2289"/>
      <c r="BF381" s="2289"/>
      <c r="BG381" s="2289"/>
      <c r="BH381" s="2289"/>
      <c r="BI381" s="2289"/>
      <c r="BJ381" s="2289"/>
      <c r="BK381" s="2289"/>
      <c r="BL381" s="2289"/>
      <c r="BM381" s="2289"/>
      <c r="BN381" s="2289"/>
      <c r="BO381" s="2289"/>
      <c r="BP381" s="2289"/>
      <c r="BQ381" s="2289"/>
      <c r="BR381" s="2289"/>
    </row>
    <row r="382" spans="1:70" ht="15.75" customHeight="1">
      <c r="A382" s="2289"/>
      <c r="B382" s="2289"/>
      <c r="C382" s="2289"/>
      <c r="D382" s="2289"/>
      <c r="E382" s="2289"/>
      <c r="F382" s="2289"/>
      <c r="G382" s="2290"/>
      <c r="H382" s="2289"/>
      <c r="I382" s="2289"/>
      <c r="J382" s="2290"/>
      <c r="K382" s="2289"/>
      <c r="L382" s="2289"/>
      <c r="M382" s="2290"/>
      <c r="N382" s="2290"/>
      <c r="O382" s="2290"/>
      <c r="P382" s="2290"/>
      <c r="Q382" s="2289"/>
      <c r="R382" s="2289"/>
      <c r="S382" s="2289"/>
      <c r="T382" s="2291"/>
      <c r="U382" s="2289"/>
      <c r="V382" s="2289"/>
      <c r="W382" s="2289"/>
      <c r="X382" s="2292"/>
      <c r="Y382" s="2292"/>
      <c r="Z382" s="2289"/>
      <c r="AA382" s="2289"/>
      <c r="AB382" s="2289"/>
      <c r="AC382" s="2289"/>
      <c r="AD382" s="2293"/>
      <c r="AE382" s="2293"/>
      <c r="AF382" s="2293"/>
      <c r="AG382" s="2293"/>
      <c r="AH382" s="2289"/>
      <c r="AI382" s="2289"/>
      <c r="AJ382" s="2294"/>
      <c r="AK382" s="2294"/>
      <c r="AL382" s="2289"/>
      <c r="AM382" s="2289"/>
      <c r="AN382" s="2289"/>
      <c r="AO382" s="2289"/>
      <c r="AP382" s="2289"/>
      <c r="AQ382" s="2289"/>
      <c r="AR382" s="2294"/>
      <c r="AS382" s="2294"/>
      <c r="AT382" s="2295"/>
      <c r="AU382" s="2295"/>
      <c r="AV382" s="2295"/>
      <c r="AW382" s="2295"/>
      <c r="AX382" s="2296"/>
      <c r="AY382" s="2289"/>
      <c r="AZ382" s="2289"/>
      <c r="BA382" s="2289"/>
      <c r="BB382" s="2289"/>
      <c r="BC382" s="2289"/>
      <c r="BD382" s="2289"/>
      <c r="BE382" s="2289"/>
      <c r="BF382" s="2289"/>
      <c r="BG382" s="2289"/>
      <c r="BH382" s="2289"/>
      <c r="BI382" s="2289"/>
      <c r="BJ382" s="2289"/>
      <c r="BK382" s="2289"/>
      <c r="BL382" s="2289"/>
      <c r="BM382" s="2289"/>
      <c r="BN382" s="2289"/>
      <c r="BO382" s="2289"/>
      <c r="BP382" s="2289"/>
      <c r="BQ382" s="2289"/>
      <c r="BR382" s="2289"/>
    </row>
    <row r="383" spans="1:70" ht="15.75" customHeight="1">
      <c r="A383" s="2289"/>
      <c r="B383" s="2289"/>
      <c r="C383" s="2289"/>
      <c r="D383" s="2289"/>
      <c r="E383" s="2289"/>
      <c r="F383" s="2289"/>
      <c r="G383" s="2290"/>
      <c r="H383" s="2289"/>
      <c r="I383" s="2289"/>
      <c r="J383" s="2290"/>
      <c r="K383" s="2289"/>
      <c r="L383" s="2289"/>
      <c r="M383" s="2290"/>
      <c r="N383" s="2290"/>
      <c r="O383" s="2290"/>
      <c r="P383" s="2290"/>
      <c r="Q383" s="2289"/>
      <c r="R383" s="2289"/>
      <c r="S383" s="2289"/>
      <c r="T383" s="2291"/>
      <c r="U383" s="2289"/>
      <c r="V383" s="2289"/>
      <c r="W383" s="2289"/>
      <c r="X383" s="2292"/>
      <c r="Y383" s="2292"/>
      <c r="Z383" s="2289"/>
      <c r="AA383" s="2289"/>
      <c r="AB383" s="2289"/>
      <c r="AC383" s="2289"/>
      <c r="AD383" s="2293"/>
      <c r="AE383" s="2293"/>
      <c r="AF383" s="2293"/>
      <c r="AG383" s="2293"/>
      <c r="AH383" s="2289"/>
      <c r="AI383" s="2289"/>
      <c r="AJ383" s="2294"/>
      <c r="AK383" s="2294"/>
      <c r="AL383" s="2289"/>
      <c r="AM383" s="2289"/>
      <c r="AN383" s="2289"/>
      <c r="AO383" s="2289"/>
      <c r="AP383" s="2289"/>
      <c r="AQ383" s="2289"/>
      <c r="AR383" s="2294"/>
      <c r="AS383" s="2294"/>
      <c r="AT383" s="2295"/>
      <c r="AU383" s="2295"/>
      <c r="AV383" s="2295"/>
      <c r="AW383" s="2295"/>
      <c r="AX383" s="2296"/>
      <c r="AY383" s="2289"/>
      <c r="AZ383" s="2289"/>
      <c r="BA383" s="2289"/>
      <c r="BB383" s="2289"/>
      <c r="BC383" s="2289"/>
      <c r="BD383" s="2289"/>
      <c r="BE383" s="2289"/>
      <c r="BF383" s="2289"/>
      <c r="BG383" s="2289"/>
      <c r="BH383" s="2289"/>
      <c r="BI383" s="2289"/>
      <c r="BJ383" s="2289"/>
      <c r="BK383" s="2289"/>
      <c r="BL383" s="2289"/>
      <c r="BM383" s="2289"/>
      <c r="BN383" s="2289"/>
      <c r="BO383" s="2289"/>
      <c r="BP383" s="2289"/>
      <c r="BQ383" s="2289"/>
      <c r="BR383" s="2289"/>
    </row>
    <row r="384" spans="1:70" ht="15.75" customHeight="1">
      <c r="A384" s="2289"/>
      <c r="B384" s="2289"/>
      <c r="C384" s="2289"/>
      <c r="D384" s="2289"/>
      <c r="E384" s="2289"/>
      <c r="F384" s="2289"/>
      <c r="G384" s="2290"/>
      <c r="H384" s="2289"/>
      <c r="I384" s="2289"/>
      <c r="J384" s="2290"/>
      <c r="K384" s="2289"/>
      <c r="L384" s="2289"/>
      <c r="M384" s="2290"/>
      <c r="N384" s="2290"/>
      <c r="O384" s="2290"/>
      <c r="P384" s="2290"/>
      <c r="Q384" s="2289"/>
      <c r="R384" s="2289"/>
      <c r="S384" s="2289"/>
      <c r="T384" s="2291"/>
      <c r="U384" s="2289"/>
      <c r="V384" s="2289"/>
      <c r="W384" s="2289"/>
      <c r="X384" s="2292"/>
      <c r="Y384" s="2292"/>
      <c r="Z384" s="2289"/>
      <c r="AA384" s="2289"/>
      <c r="AB384" s="2289"/>
      <c r="AC384" s="2289"/>
      <c r="AD384" s="2293"/>
      <c r="AE384" s="2293"/>
      <c r="AF384" s="2293"/>
      <c r="AG384" s="2293"/>
      <c r="AH384" s="2289"/>
      <c r="AI384" s="2289"/>
      <c r="AJ384" s="2294"/>
      <c r="AK384" s="2294"/>
      <c r="AL384" s="2289"/>
      <c r="AM384" s="2289"/>
      <c r="AN384" s="2289"/>
      <c r="AO384" s="2289"/>
      <c r="AP384" s="2289"/>
      <c r="AQ384" s="2289"/>
      <c r="AR384" s="2294"/>
      <c r="AS384" s="2294"/>
      <c r="AT384" s="2295"/>
      <c r="AU384" s="2295"/>
      <c r="AV384" s="2295"/>
      <c r="AW384" s="2295"/>
      <c r="AX384" s="2296"/>
      <c r="AY384" s="2289"/>
      <c r="AZ384" s="2289"/>
      <c r="BA384" s="2289"/>
      <c r="BB384" s="2289"/>
      <c r="BC384" s="2289"/>
      <c r="BD384" s="2289"/>
      <c r="BE384" s="2289"/>
      <c r="BF384" s="2289"/>
      <c r="BG384" s="2289"/>
      <c r="BH384" s="2289"/>
      <c r="BI384" s="2289"/>
      <c r="BJ384" s="2289"/>
      <c r="BK384" s="2289"/>
      <c r="BL384" s="2289"/>
      <c r="BM384" s="2289"/>
      <c r="BN384" s="2289"/>
      <c r="BO384" s="2289"/>
      <c r="BP384" s="2289"/>
      <c r="BQ384" s="2289"/>
      <c r="BR384" s="2289"/>
    </row>
    <row r="385" spans="1:70" ht="15.75" customHeight="1">
      <c r="A385" s="2289"/>
      <c r="B385" s="2289"/>
      <c r="C385" s="2289"/>
      <c r="D385" s="2289"/>
      <c r="E385" s="2289"/>
      <c r="F385" s="2289"/>
      <c r="G385" s="2290"/>
      <c r="H385" s="2289"/>
      <c r="I385" s="2289"/>
      <c r="J385" s="2290"/>
      <c r="K385" s="2289"/>
      <c r="L385" s="2289"/>
      <c r="M385" s="2290"/>
      <c r="N385" s="2290"/>
      <c r="O385" s="2290"/>
      <c r="P385" s="2290"/>
      <c r="Q385" s="2289"/>
      <c r="R385" s="2289"/>
      <c r="S385" s="2289"/>
      <c r="T385" s="2291"/>
      <c r="U385" s="2289"/>
      <c r="V385" s="2289"/>
      <c r="W385" s="2289"/>
      <c r="X385" s="2292"/>
      <c r="Y385" s="2292"/>
      <c r="Z385" s="2289"/>
      <c r="AA385" s="2289"/>
      <c r="AB385" s="2289"/>
      <c r="AC385" s="2289"/>
      <c r="AD385" s="2293"/>
      <c r="AE385" s="2293"/>
      <c r="AF385" s="2293"/>
      <c r="AG385" s="2293"/>
      <c r="AH385" s="2289"/>
      <c r="AI385" s="2289"/>
      <c r="AJ385" s="2294"/>
      <c r="AK385" s="2294"/>
      <c r="AL385" s="2289"/>
      <c r="AM385" s="2289"/>
      <c r="AN385" s="2289"/>
      <c r="AO385" s="2289"/>
      <c r="AP385" s="2289"/>
      <c r="AQ385" s="2289"/>
      <c r="AR385" s="2294"/>
      <c r="AS385" s="2294"/>
      <c r="AT385" s="2295"/>
      <c r="AU385" s="2295"/>
      <c r="AV385" s="2295"/>
      <c r="AW385" s="2295"/>
      <c r="AX385" s="2296"/>
      <c r="AY385" s="2289"/>
      <c r="AZ385" s="2289"/>
      <c r="BA385" s="2289"/>
      <c r="BB385" s="2289"/>
      <c r="BC385" s="2289"/>
      <c r="BD385" s="2289"/>
      <c r="BE385" s="2289"/>
      <c r="BF385" s="2289"/>
      <c r="BG385" s="2289"/>
      <c r="BH385" s="2289"/>
      <c r="BI385" s="2289"/>
      <c r="BJ385" s="2289"/>
      <c r="BK385" s="2289"/>
      <c r="BL385" s="2289"/>
      <c r="BM385" s="2289"/>
      <c r="BN385" s="2289"/>
      <c r="BO385" s="2289"/>
      <c r="BP385" s="2289"/>
      <c r="BQ385" s="2289"/>
      <c r="BR385" s="2289"/>
    </row>
    <row r="386" spans="1:70" ht="15.75" customHeight="1">
      <c r="A386" s="2289"/>
      <c r="B386" s="2289"/>
      <c r="C386" s="2289"/>
      <c r="D386" s="2289"/>
      <c r="E386" s="2289"/>
      <c r="F386" s="2289"/>
      <c r="G386" s="2290"/>
      <c r="H386" s="2289"/>
      <c r="I386" s="2289"/>
      <c r="J386" s="2290"/>
      <c r="K386" s="2289"/>
      <c r="L386" s="2289"/>
      <c r="M386" s="2290"/>
      <c r="N386" s="2290"/>
      <c r="O386" s="2290"/>
      <c r="P386" s="2290"/>
      <c r="Q386" s="2289"/>
      <c r="R386" s="2289"/>
      <c r="S386" s="2289"/>
      <c r="T386" s="2291"/>
      <c r="U386" s="2289"/>
      <c r="V386" s="2289"/>
      <c r="W386" s="2289"/>
      <c r="X386" s="2292"/>
      <c r="Y386" s="2292"/>
      <c r="Z386" s="2289"/>
      <c r="AA386" s="2289"/>
      <c r="AB386" s="2289"/>
      <c r="AC386" s="2289"/>
      <c r="AD386" s="2293"/>
      <c r="AE386" s="2293"/>
      <c r="AF386" s="2293"/>
      <c r="AG386" s="2293"/>
      <c r="AH386" s="2289"/>
      <c r="AI386" s="2289"/>
      <c r="AJ386" s="2294"/>
      <c r="AK386" s="2294"/>
      <c r="AL386" s="2289"/>
      <c r="AM386" s="2289"/>
      <c r="AN386" s="2289"/>
      <c r="AO386" s="2289"/>
      <c r="AP386" s="2289"/>
      <c r="AQ386" s="2289"/>
      <c r="AR386" s="2294"/>
      <c r="AS386" s="2294"/>
      <c r="AT386" s="2295"/>
      <c r="AU386" s="2295"/>
      <c r="AV386" s="2295"/>
      <c r="AW386" s="2295"/>
      <c r="AX386" s="2296"/>
      <c r="AY386" s="2289"/>
      <c r="AZ386" s="2289"/>
      <c r="BA386" s="2289"/>
      <c r="BB386" s="2289"/>
      <c r="BC386" s="2289"/>
      <c r="BD386" s="2289"/>
      <c r="BE386" s="2289"/>
      <c r="BF386" s="2289"/>
      <c r="BG386" s="2289"/>
      <c r="BH386" s="2289"/>
      <c r="BI386" s="2289"/>
      <c r="BJ386" s="2289"/>
      <c r="BK386" s="2289"/>
      <c r="BL386" s="2289"/>
      <c r="BM386" s="2289"/>
      <c r="BN386" s="2289"/>
      <c r="BO386" s="2289"/>
      <c r="BP386" s="2289"/>
      <c r="BQ386" s="2289"/>
      <c r="BR386" s="2289"/>
    </row>
    <row r="387" spans="1:70" ht="15.75" customHeight="1">
      <c r="A387" s="2289"/>
      <c r="B387" s="2289"/>
      <c r="C387" s="2289"/>
      <c r="D387" s="2289"/>
      <c r="E387" s="2289"/>
      <c r="F387" s="2289"/>
      <c r="G387" s="2290"/>
      <c r="H387" s="2289"/>
      <c r="I387" s="2289"/>
      <c r="J387" s="2290"/>
      <c r="K387" s="2289"/>
      <c r="L387" s="2289"/>
      <c r="M387" s="2290"/>
      <c r="N387" s="2290"/>
      <c r="O387" s="2290"/>
      <c r="P387" s="2290"/>
      <c r="Q387" s="2289"/>
      <c r="R387" s="2289"/>
      <c r="S387" s="2289"/>
      <c r="T387" s="2291"/>
      <c r="U387" s="2289"/>
      <c r="V387" s="2289"/>
      <c r="W387" s="2289"/>
      <c r="X387" s="2292"/>
      <c r="Y387" s="2292"/>
      <c r="Z387" s="2289"/>
      <c r="AA387" s="2289"/>
      <c r="AB387" s="2289"/>
      <c r="AC387" s="2289"/>
      <c r="AD387" s="2293"/>
      <c r="AE387" s="2293"/>
      <c r="AF387" s="2293"/>
      <c r="AG387" s="2293"/>
      <c r="AH387" s="2289"/>
      <c r="AI387" s="2289"/>
      <c r="AJ387" s="2294"/>
      <c r="AK387" s="2294"/>
      <c r="AL387" s="2289"/>
      <c r="AM387" s="2289"/>
      <c r="AN387" s="2289"/>
      <c r="AO387" s="2289"/>
      <c r="AP387" s="2289"/>
      <c r="AQ387" s="2289"/>
      <c r="AR387" s="2294"/>
      <c r="AS387" s="2294"/>
      <c r="AT387" s="2295"/>
      <c r="AU387" s="2295"/>
      <c r="AV387" s="2295"/>
      <c r="AW387" s="2295"/>
      <c r="AX387" s="2296"/>
      <c r="AY387" s="2289"/>
      <c r="AZ387" s="2289"/>
      <c r="BA387" s="2289"/>
      <c r="BB387" s="2289"/>
      <c r="BC387" s="2289"/>
      <c r="BD387" s="2289"/>
      <c r="BE387" s="2289"/>
      <c r="BF387" s="2289"/>
      <c r="BG387" s="2289"/>
      <c r="BH387" s="2289"/>
      <c r="BI387" s="2289"/>
      <c r="BJ387" s="2289"/>
      <c r="BK387" s="2289"/>
      <c r="BL387" s="2289"/>
      <c r="BM387" s="2289"/>
      <c r="BN387" s="2289"/>
      <c r="BO387" s="2289"/>
      <c r="BP387" s="2289"/>
      <c r="BQ387" s="2289"/>
      <c r="BR387" s="2289"/>
    </row>
    <row r="388" spans="1:70" ht="15.75" customHeight="1">
      <c r="A388" s="2289"/>
      <c r="B388" s="2289"/>
      <c r="C388" s="2289"/>
      <c r="D388" s="2289"/>
      <c r="E388" s="2289"/>
      <c r="F388" s="2289"/>
      <c r="G388" s="2290"/>
      <c r="H388" s="2289"/>
      <c r="I388" s="2289"/>
      <c r="J388" s="2290"/>
      <c r="K388" s="2289"/>
      <c r="L388" s="2289"/>
      <c r="M388" s="2290"/>
      <c r="N388" s="2290"/>
      <c r="O388" s="2290"/>
      <c r="P388" s="2290"/>
      <c r="Q388" s="2289"/>
      <c r="R388" s="2289"/>
      <c r="S388" s="2289"/>
      <c r="T388" s="2291"/>
      <c r="U388" s="2289"/>
      <c r="V388" s="2289"/>
      <c r="W388" s="2289"/>
      <c r="X388" s="2292"/>
      <c r="Y388" s="2292"/>
      <c r="Z388" s="2289"/>
      <c r="AA388" s="2289"/>
      <c r="AB388" s="2289"/>
      <c r="AC388" s="2289"/>
      <c r="AD388" s="2293"/>
      <c r="AE388" s="2293"/>
      <c r="AF388" s="2293"/>
      <c r="AG388" s="2293"/>
      <c r="AH388" s="2289"/>
      <c r="AI388" s="2289"/>
      <c r="AJ388" s="2294"/>
      <c r="AK388" s="2294"/>
      <c r="AL388" s="2289"/>
      <c r="AM388" s="2289"/>
      <c r="AN388" s="2289"/>
      <c r="AO388" s="2289"/>
      <c r="AP388" s="2289"/>
      <c r="AQ388" s="2289"/>
      <c r="AR388" s="2294"/>
      <c r="AS388" s="2294"/>
      <c r="AT388" s="2295"/>
      <c r="AU388" s="2295"/>
      <c r="AV388" s="2295"/>
      <c r="AW388" s="2295"/>
      <c r="AX388" s="2296"/>
      <c r="AY388" s="2289"/>
      <c r="AZ388" s="2289"/>
      <c r="BA388" s="2289"/>
      <c r="BB388" s="2289"/>
      <c r="BC388" s="2289"/>
      <c r="BD388" s="2289"/>
      <c r="BE388" s="2289"/>
      <c r="BF388" s="2289"/>
      <c r="BG388" s="2289"/>
      <c r="BH388" s="2289"/>
      <c r="BI388" s="2289"/>
      <c r="BJ388" s="2289"/>
      <c r="BK388" s="2289"/>
      <c r="BL388" s="2289"/>
      <c r="BM388" s="2289"/>
      <c r="BN388" s="2289"/>
      <c r="BO388" s="2289"/>
      <c r="BP388" s="2289"/>
      <c r="BQ388" s="2289"/>
      <c r="BR388" s="2289"/>
    </row>
    <row r="389" spans="1:70" ht="15.75" customHeight="1">
      <c r="A389" s="2289"/>
      <c r="B389" s="2289"/>
      <c r="C389" s="2289"/>
      <c r="D389" s="2289"/>
      <c r="E389" s="2289"/>
      <c r="F389" s="2289"/>
      <c r="G389" s="2290"/>
      <c r="H389" s="2289"/>
      <c r="I389" s="2289"/>
      <c r="J389" s="2290"/>
      <c r="K389" s="2289"/>
      <c r="L389" s="2289"/>
      <c r="M389" s="2290"/>
      <c r="N389" s="2290"/>
      <c r="O389" s="2290"/>
      <c r="P389" s="2290"/>
      <c r="Q389" s="2289"/>
      <c r="R389" s="2289"/>
      <c r="S389" s="2289"/>
      <c r="T389" s="2291"/>
      <c r="U389" s="2289"/>
      <c r="V389" s="2289"/>
      <c r="W389" s="2289"/>
      <c r="X389" s="2292"/>
      <c r="Y389" s="2292"/>
      <c r="Z389" s="2289"/>
      <c r="AA389" s="2289"/>
      <c r="AB389" s="2289"/>
      <c r="AC389" s="2289"/>
      <c r="AD389" s="2293"/>
      <c r="AE389" s="2293"/>
      <c r="AF389" s="2293"/>
      <c r="AG389" s="2293"/>
      <c r="AH389" s="2289"/>
      <c r="AI389" s="2289"/>
      <c r="AJ389" s="2294"/>
      <c r="AK389" s="2294"/>
      <c r="AL389" s="2289"/>
      <c r="AM389" s="2289"/>
      <c r="AN389" s="2289"/>
      <c r="AO389" s="2289"/>
      <c r="AP389" s="2289"/>
      <c r="AQ389" s="2289"/>
      <c r="AR389" s="2294"/>
      <c r="AS389" s="2294"/>
      <c r="AT389" s="2295"/>
      <c r="AU389" s="2295"/>
      <c r="AV389" s="2295"/>
      <c r="AW389" s="2295"/>
      <c r="AX389" s="2296"/>
      <c r="AY389" s="2289"/>
      <c r="AZ389" s="2289"/>
      <c r="BA389" s="2289"/>
      <c r="BB389" s="2289"/>
      <c r="BC389" s="2289"/>
      <c r="BD389" s="2289"/>
      <c r="BE389" s="2289"/>
      <c r="BF389" s="2289"/>
      <c r="BG389" s="2289"/>
      <c r="BH389" s="2289"/>
      <c r="BI389" s="2289"/>
      <c r="BJ389" s="2289"/>
      <c r="BK389" s="2289"/>
      <c r="BL389" s="2289"/>
      <c r="BM389" s="2289"/>
      <c r="BN389" s="2289"/>
      <c r="BO389" s="2289"/>
      <c r="BP389" s="2289"/>
      <c r="BQ389" s="2289"/>
      <c r="BR389" s="2289"/>
    </row>
    <row r="390" spans="1:70" ht="15.75" customHeight="1">
      <c r="A390" s="2289"/>
      <c r="B390" s="2289"/>
      <c r="C390" s="2289"/>
      <c r="D390" s="2289"/>
      <c r="E390" s="2289"/>
      <c r="F390" s="2289"/>
      <c r="G390" s="2290"/>
      <c r="H390" s="2289"/>
      <c r="I390" s="2289"/>
      <c r="J390" s="2290"/>
      <c r="K390" s="2289"/>
      <c r="L390" s="2289"/>
      <c r="M390" s="2290"/>
      <c r="N390" s="2290"/>
      <c r="O390" s="2290"/>
      <c r="P390" s="2290"/>
      <c r="Q390" s="2289"/>
      <c r="R390" s="2289"/>
      <c r="S390" s="2289"/>
      <c r="T390" s="2291"/>
      <c r="U390" s="2289"/>
      <c r="V390" s="2289"/>
      <c r="W390" s="2289"/>
      <c r="X390" s="2292"/>
      <c r="Y390" s="2292"/>
      <c r="Z390" s="2289"/>
      <c r="AA390" s="2289"/>
      <c r="AB390" s="2289"/>
      <c r="AC390" s="2289"/>
      <c r="AD390" s="2293"/>
      <c r="AE390" s="2293"/>
      <c r="AF390" s="2293"/>
      <c r="AG390" s="2293"/>
      <c r="AH390" s="2289"/>
      <c r="AI390" s="2289"/>
      <c r="AJ390" s="2294"/>
      <c r="AK390" s="2294"/>
      <c r="AL390" s="2289"/>
      <c r="AM390" s="2289"/>
      <c r="AN390" s="2289"/>
      <c r="AO390" s="2289"/>
      <c r="AP390" s="2289"/>
      <c r="AQ390" s="2289"/>
      <c r="AR390" s="2294"/>
      <c r="AS390" s="2294"/>
      <c r="AT390" s="2295"/>
      <c r="AU390" s="2295"/>
      <c r="AV390" s="2295"/>
      <c r="AW390" s="2295"/>
      <c r="AX390" s="2296"/>
      <c r="AY390" s="2289"/>
      <c r="AZ390" s="2289"/>
      <c r="BA390" s="2289"/>
      <c r="BB390" s="2289"/>
      <c r="BC390" s="2289"/>
      <c r="BD390" s="2289"/>
      <c r="BE390" s="2289"/>
      <c r="BF390" s="2289"/>
      <c r="BG390" s="2289"/>
      <c r="BH390" s="2289"/>
      <c r="BI390" s="2289"/>
      <c r="BJ390" s="2289"/>
      <c r="BK390" s="2289"/>
      <c r="BL390" s="2289"/>
      <c r="BM390" s="2289"/>
      <c r="BN390" s="2289"/>
      <c r="BO390" s="2289"/>
      <c r="BP390" s="2289"/>
      <c r="BQ390" s="2289"/>
      <c r="BR390" s="2289"/>
    </row>
    <row r="391" spans="1:70" ht="15.75" customHeight="1">
      <c r="A391" s="2289"/>
      <c r="B391" s="2289"/>
      <c r="C391" s="2289"/>
      <c r="D391" s="2289"/>
      <c r="E391" s="2289"/>
      <c r="F391" s="2289"/>
      <c r="G391" s="2290"/>
      <c r="H391" s="2289"/>
      <c r="I391" s="2289"/>
      <c r="J391" s="2290"/>
      <c r="K391" s="2289"/>
      <c r="L391" s="2289"/>
      <c r="M391" s="2290"/>
      <c r="N391" s="2290"/>
      <c r="O391" s="2290"/>
      <c r="P391" s="2290"/>
      <c r="Q391" s="2289"/>
      <c r="R391" s="2289"/>
      <c r="S391" s="2289"/>
      <c r="T391" s="2291"/>
      <c r="U391" s="2289"/>
      <c r="V391" s="2289"/>
      <c r="W391" s="2289"/>
      <c r="X391" s="2292"/>
      <c r="Y391" s="2292"/>
      <c r="Z391" s="2289"/>
      <c r="AA391" s="2289"/>
      <c r="AB391" s="2289"/>
      <c r="AC391" s="2289"/>
      <c r="AD391" s="2293"/>
      <c r="AE391" s="2293"/>
      <c r="AF391" s="2293"/>
      <c r="AG391" s="2293"/>
      <c r="AH391" s="2289"/>
      <c r="AI391" s="2289"/>
      <c r="AJ391" s="2294"/>
      <c r="AK391" s="2294"/>
      <c r="AL391" s="2289"/>
      <c r="AM391" s="2289"/>
      <c r="AN391" s="2289"/>
      <c r="AO391" s="2289"/>
      <c r="AP391" s="2289"/>
      <c r="AQ391" s="2289"/>
      <c r="AR391" s="2294"/>
      <c r="AS391" s="2294"/>
      <c r="AT391" s="2295"/>
      <c r="AU391" s="2295"/>
      <c r="AV391" s="2295"/>
      <c r="AW391" s="2295"/>
      <c r="AX391" s="2296"/>
      <c r="AY391" s="2289"/>
      <c r="AZ391" s="2289"/>
      <c r="BA391" s="2289"/>
      <c r="BB391" s="2289"/>
      <c r="BC391" s="2289"/>
      <c r="BD391" s="2289"/>
      <c r="BE391" s="2289"/>
      <c r="BF391" s="2289"/>
      <c r="BG391" s="2289"/>
      <c r="BH391" s="2289"/>
      <c r="BI391" s="2289"/>
      <c r="BJ391" s="2289"/>
      <c r="BK391" s="2289"/>
      <c r="BL391" s="2289"/>
      <c r="BM391" s="2289"/>
      <c r="BN391" s="2289"/>
      <c r="BO391" s="2289"/>
      <c r="BP391" s="2289"/>
      <c r="BQ391" s="2289"/>
      <c r="BR391" s="2289"/>
    </row>
    <row r="392" spans="1:70" ht="15.75" customHeight="1">
      <c r="A392" s="2289"/>
      <c r="B392" s="2289"/>
      <c r="C392" s="2289"/>
      <c r="D392" s="2289"/>
      <c r="E392" s="2289"/>
      <c r="F392" s="2289"/>
      <c r="G392" s="2290"/>
      <c r="H392" s="2289"/>
      <c r="I392" s="2289"/>
      <c r="J392" s="2290"/>
      <c r="K392" s="2289"/>
      <c r="L392" s="2289"/>
      <c r="M392" s="2290"/>
      <c r="N392" s="2290"/>
      <c r="O392" s="2290"/>
      <c r="P392" s="2290"/>
      <c r="Q392" s="2289"/>
      <c r="R392" s="2289"/>
      <c r="S392" s="2289"/>
      <c r="T392" s="2291"/>
      <c r="U392" s="2289"/>
      <c r="V392" s="2289"/>
      <c r="W392" s="2289"/>
      <c r="X392" s="2292"/>
      <c r="Y392" s="2292"/>
      <c r="Z392" s="2289"/>
      <c r="AA392" s="2289"/>
      <c r="AB392" s="2289"/>
      <c r="AC392" s="2289"/>
      <c r="AD392" s="2293"/>
      <c r="AE392" s="2293"/>
      <c r="AF392" s="2293"/>
      <c r="AG392" s="2293"/>
      <c r="AH392" s="2289"/>
      <c r="AI392" s="2289"/>
      <c r="AJ392" s="2294"/>
      <c r="AK392" s="2294"/>
      <c r="AL392" s="2289"/>
      <c r="AM392" s="2289"/>
      <c r="AN392" s="2289"/>
      <c r="AO392" s="2289"/>
      <c r="AP392" s="2289"/>
      <c r="AQ392" s="2289"/>
      <c r="AR392" s="2294"/>
      <c r="AS392" s="2294"/>
      <c r="AT392" s="2295"/>
      <c r="AU392" s="2295"/>
      <c r="AV392" s="2295"/>
      <c r="AW392" s="2295"/>
      <c r="AX392" s="2296"/>
      <c r="AY392" s="2289"/>
      <c r="AZ392" s="2289"/>
      <c r="BA392" s="2289"/>
      <c r="BB392" s="2289"/>
      <c r="BC392" s="2289"/>
      <c r="BD392" s="2289"/>
      <c r="BE392" s="2289"/>
      <c r="BF392" s="2289"/>
      <c r="BG392" s="2289"/>
      <c r="BH392" s="2289"/>
      <c r="BI392" s="2289"/>
      <c r="BJ392" s="2289"/>
      <c r="BK392" s="2289"/>
      <c r="BL392" s="2289"/>
      <c r="BM392" s="2289"/>
      <c r="BN392" s="2289"/>
      <c r="BO392" s="2289"/>
      <c r="BP392" s="2289"/>
      <c r="BQ392" s="2289"/>
      <c r="BR392" s="2289"/>
    </row>
    <row r="393" spans="1:70" ht="15.75" customHeight="1">
      <c r="A393" s="2289"/>
      <c r="B393" s="2289"/>
      <c r="C393" s="2289"/>
      <c r="D393" s="2289"/>
      <c r="E393" s="2289"/>
      <c r="F393" s="2289"/>
      <c r="G393" s="2290"/>
      <c r="H393" s="2289"/>
      <c r="I393" s="2289"/>
      <c r="J393" s="2290"/>
      <c r="K393" s="2289"/>
      <c r="L393" s="2289"/>
      <c r="M393" s="2290"/>
      <c r="N393" s="2290"/>
      <c r="O393" s="2290"/>
      <c r="P393" s="2290"/>
      <c r="Q393" s="2289"/>
      <c r="R393" s="2289"/>
      <c r="S393" s="2289"/>
      <c r="T393" s="2291"/>
      <c r="U393" s="2289"/>
      <c r="V393" s="2289"/>
      <c r="W393" s="2289"/>
      <c r="X393" s="2292"/>
      <c r="Y393" s="2292"/>
      <c r="Z393" s="2289"/>
      <c r="AA393" s="2289"/>
      <c r="AB393" s="2289"/>
      <c r="AC393" s="2289"/>
      <c r="AD393" s="2293"/>
      <c r="AE393" s="2293"/>
      <c r="AF393" s="2293"/>
      <c r="AG393" s="2293"/>
      <c r="AH393" s="2289"/>
      <c r="AI393" s="2289"/>
      <c r="AJ393" s="2294"/>
      <c r="AK393" s="2294"/>
      <c r="AL393" s="2289"/>
      <c r="AM393" s="2289"/>
      <c r="AN393" s="2289"/>
      <c r="AO393" s="2289"/>
      <c r="AP393" s="2289"/>
      <c r="AQ393" s="2289"/>
      <c r="AR393" s="2294"/>
      <c r="AS393" s="2294"/>
      <c r="AT393" s="2295"/>
      <c r="AU393" s="2295"/>
      <c r="AV393" s="2295"/>
      <c r="AW393" s="2295"/>
      <c r="AX393" s="2296"/>
      <c r="AY393" s="2289"/>
      <c r="AZ393" s="2289"/>
      <c r="BA393" s="2289"/>
      <c r="BB393" s="2289"/>
      <c r="BC393" s="2289"/>
      <c r="BD393" s="2289"/>
      <c r="BE393" s="2289"/>
      <c r="BF393" s="2289"/>
      <c r="BG393" s="2289"/>
      <c r="BH393" s="2289"/>
      <c r="BI393" s="2289"/>
      <c r="BJ393" s="2289"/>
      <c r="BK393" s="2289"/>
      <c r="BL393" s="2289"/>
      <c r="BM393" s="2289"/>
      <c r="BN393" s="2289"/>
      <c r="BO393" s="2289"/>
      <c r="BP393" s="2289"/>
      <c r="BQ393" s="2289"/>
      <c r="BR393" s="2289"/>
    </row>
    <row r="394" spans="1:70" ht="15.75" customHeight="1">
      <c r="A394" s="2289"/>
      <c r="B394" s="2289"/>
      <c r="C394" s="2289"/>
      <c r="D394" s="2289"/>
      <c r="E394" s="2289"/>
      <c r="F394" s="2289"/>
      <c r="G394" s="2290"/>
      <c r="H394" s="2289"/>
      <c r="I394" s="2289"/>
      <c r="J394" s="2290"/>
      <c r="K394" s="2289"/>
      <c r="L394" s="2289"/>
      <c r="M394" s="2290"/>
      <c r="N394" s="2290"/>
      <c r="O394" s="2290"/>
      <c r="P394" s="2290"/>
      <c r="Q394" s="2289"/>
      <c r="R394" s="2289"/>
      <c r="S394" s="2289"/>
      <c r="T394" s="2291"/>
      <c r="U394" s="2289"/>
      <c r="V394" s="2289"/>
      <c r="W394" s="2289"/>
      <c r="X394" s="2292"/>
      <c r="Y394" s="2292"/>
      <c r="Z394" s="2289"/>
      <c r="AA394" s="2289"/>
      <c r="AB394" s="2289"/>
      <c r="AC394" s="2289"/>
      <c r="AD394" s="2293"/>
      <c r="AE394" s="2293"/>
      <c r="AF394" s="2293"/>
      <c r="AG394" s="2293"/>
      <c r="AH394" s="2289"/>
      <c r="AI394" s="2289"/>
      <c r="AJ394" s="2294"/>
      <c r="AK394" s="2294"/>
      <c r="AL394" s="2289"/>
      <c r="AM394" s="2289"/>
      <c r="AN394" s="2289"/>
      <c r="AO394" s="2289"/>
      <c r="AP394" s="2289"/>
      <c r="AQ394" s="2289"/>
      <c r="AR394" s="2294"/>
      <c r="AS394" s="2294"/>
      <c r="AT394" s="2295"/>
      <c r="AU394" s="2295"/>
      <c r="AV394" s="2295"/>
      <c r="AW394" s="2295"/>
      <c r="AX394" s="2296"/>
      <c r="AY394" s="2289"/>
      <c r="AZ394" s="2289"/>
      <c r="BA394" s="2289"/>
      <c r="BB394" s="2289"/>
      <c r="BC394" s="2289"/>
      <c r="BD394" s="2289"/>
      <c r="BE394" s="2289"/>
      <c r="BF394" s="2289"/>
      <c r="BG394" s="2289"/>
      <c r="BH394" s="2289"/>
      <c r="BI394" s="2289"/>
      <c r="BJ394" s="2289"/>
      <c r="BK394" s="2289"/>
      <c r="BL394" s="2289"/>
      <c r="BM394" s="2289"/>
      <c r="BN394" s="2289"/>
      <c r="BO394" s="2289"/>
      <c r="BP394" s="2289"/>
      <c r="BQ394" s="2289"/>
      <c r="BR394" s="2289"/>
    </row>
    <row r="395" spans="1:70" ht="15.75" customHeight="1">
      <c r="A395" s="2289"/>
      <c r="B395" s="2289"/>
      <c r="C395" s="2289"/>
      <c r="D395" s="2289"/>
      <c r="E395" s="2289"/>
      <c r="F395" s="2289"/>
      <c r="G395" s="2290"/>
      <c r="H395" s="2289"/>
      <c r="I395" s="2289"/>
      <c r="J395" s="2290"/>
      <c r="K395" s="2289"/>
      <c r="L395" s="2289"/>
      <c r="M395" s="2290"/>
      <c r="N395" s="2290"/>
      <c r="O395" s="2290"/>
      <c r="P395" s="2290"/>
      <c r="Q395" s="2289"/>
      <c r="R395" s="2289"/>
      <c r="S395" s="2289"/>
      <c r="T395" s="2291"/>
      <c r="U395" s="2289"/>
      <c r="V395" s="2289"/>
      <c r="W395" s="2289"/>
      <c r="X395" s="2292"/>
      <c r="Y395" s="2292"/>
      <c r="Z395" s="2289"/>
      <c r="AA395" s="2289"/>
      <c r="AB395" s="2289"/>
      <c r="AC395" s="2289"/>
      <c r="AD395" s="2293"/>
      <c r="AE395" s="2293"/>
      <c r="AF395" s="2293"/>
      <c r="AG395" s="2293"/>
      <c r="AH395" s="2289"/>
      <c r="AI395" s="2289"/>
      <c r="AJ395" s="2294"/>
      <c r="AK395" s="2294"/>
      <c r="AL395" s="2289"/>
      <c r="AM395" s="2289"/>
      <c r="AN395" s="2289"/>
      <c r="AO395" s="2289"/>
      <c r="AP395" s="2289"/>
      <c r="AQ395" s="2289"/>
      <c r="AR395" s="2294"/>
      <c r="AS395" s="2294"/>
      <c r="AT395" s="2295"/>
      <c r="AU395" s="2295"/>
      <c r="AV395" s="2295"/>
      <c r="AW395" s="2295"/>
      <c r="AX395" s="2296"/>
      <c r="AY395" s="2289"/>
      <c r="AZ395" s="2289"/>
      <c r="BA395" s="2289"/>
      <c r="BB395" s="2289"/>
      <c r="BC395" s="2289"/>
      <c r="BD395" s="2289"/>
      <c r="BE395" s="2289"/>
      <c r="BF395" s="2289"/>
      <c r="BG395" s="2289"/>
      <c r="BH395" s="2289"/>
      <c r="BI395" s="2289"/>
      <c r="BJ395" s="2289"/>
      <c r="BK395" s="2289"/>
      <c r="BL395" s="2289"/>
      <c r="BM395" s="2289"/>
      <c r="BN395" s="2289"/>
      <c r="BO395" s="2289"/>
      <c r="BP395" s="2289"/>
      <c r="BQ395" s="2289"/>
      <c r="BR395" s="2289"/>
    </row>
    <row r="396" spans="1:70" ht="15.75" customHeight="1">
      <c r="A396" s="2289"/>
      <c r="B396" s="2289"/>
      <c r="C396" s="2289"/>
      <c r="D396" s="2289"/>
      <c r="E396" s="2289"/>
      <c r="F396" s="2289"/>
      <c r="G396" s="2290"/>
      <c r="H396" s="2289"/>
      <c r="I396" s="2289"/>
      <c r="J396" s="2290"/>
      <c r="K396" s="2289"/>
      <c r="L396" s="2289"/>
      <c r="M396" s="2290"/>
      <c r="N396" s="2290"/>
      <c r="O396" s="2290"/>
      <c r="P396" s="2290"/>
      <c r="Q396" s="2289"/>
      <c r="R396" s="2289"/>
      <c r="S396" s="2289"/>
      <c r="T396" s="2291"/>
      <c r="U396" s="2289"/>
      <c r="V396" s="2289"/>
      <c r="W396" s="2289"/>
      <c r="X396" s="2292"/>
      <c r="Y396" s="2292"/>
      <c r="Z396" s="2289"/>
      <c r="AA396" s="2289"/>
      <c r="AB396" s="2289"/>
      <c r="AC396" s="2289"/>
      <c r="AD396" s="2293"/>
      <c r="AE396" s="2293"/>
      <c r="AF396" s="2293"/>
      <c r="AG396" s="2293"/>
      <c r="AH396" s="2289"/>
      <c r="AI396" s="2289"/>
      <c r="AJ396" s="2294"/>
      <c r="AK396" s="2294"/>
      <c r="AL396" s="2289"/>
      <c r="AM396" s="2289"/>
      <c r="AN396" s="2289"/>
      <c r="AO396" s="2289"/>
      <c r="AP396" s="2289"/>
      <c r="AQ396" s="2289"/>
      <c r="AR396" s="2294"/>
      <c r="AS396" s="2294"/>
      <c r="AT396" s="2295"/>
      <c r="AU396" s="2295"/>
      <c r="AV396" s="2295"/>
      <c r="AW396" s="2295"/>
      <c r="AX396" s="2296"/>
      <c r="AY396" s="2289"/>
      <c r="AZ396" s="2289"/>
      <c r="BA396" s="2289"/>
      <c r="BB396" s="2289"/>
      <c r="BC396" s="2289"/>
      <c r="BD396" s="2289"/>
      <c r="BE396" s="2289"/>
      <c r="BF396" s="2289"/>
      <c r="BG396" s="2289"/>
      <c r="BH396" s="2289"/>
      <c r="BI396" s="2289"/>
      <c r="BJ396" s="2289"/>
      <c r="BK396" s="2289"/>
      <c r="BL396" s="2289"/>
      <c r="BM396" s="2289"/>
      <c r="BN396" s="2289"/>
      <c r="BO396" s="2289"/>
      <c r="BP396" s="2289"/>
      <c r="BQ396" s="2289"/>
      <c r="BR396" s="2289"/>
    </row>
    <row r="397" spans="1:70" ht="15.75" customHeight="1">
      <c r="A397" s="2289"/>
      <c r="B397" s="2289"/>
      <c r="C397" s="2289"/>
      <c r="D397" s="2289"/>
      <c r="E397" s="2289"/>
      <c r="F397" s="2289"/>
      <c r="G397" s="2290"/>
      <c r="H397" s="2289"/>
      <c r="I397" s="2289"/>
      <c r="J397" s="2290"/>
      <c r="K397" s="2289"/>
      <c r="L397" s="2289"/>
      <c r="M397" s="2290"/>
      <c r="N397" s="2290"/>
      <c r="O397" s="2290"/>
      <c r="P397" s="2290"/>
      <c r="Q397" s="2289"/>
      <c r="R397" s="2289"/>
      <c r="S397" s="2289"/>
      <c r="T397" s="2291"/>
      <c r="U397" s="2289"/>
      <c r="V397" s="2289"/>
      <c r="W397" s="2289"/>
      <c r="X397" s="2292"/>
      <c r="Y397" s="2292"/>
      <c r="Z397" s="2289"/>
      <c r="AA397" s="2289"/>
      <c r="AB397" s="2289"/>
      <c r="AC397" s="2289"/>
      <c r="AD397" s="2293"/>
      <c r="AE397" s="2293"/>
      <c r="AF397" s="2293"/>
      <c r="AG397" s="2293"/>
      <c r="AH397" s="2289"/>
      <c r="AI397" s="2289"/>
      <c r="AJ397" s="2294"/>
      <c r="AK397" s="2294"/>
      <c r="AL397" s="2289"/>
      <c r="AM397" s="2289"/>
      <c r="AN397" s="2289"/>
      <c r="AO397" s="2289"/>
      <c r="AP397" s="2289"/>
      <c r="AQ397" s="2289"/>
      <c r="AR397" s="2294"/>
      <c r="AS397" s="2294"/>
      <c r="AT397" s="2295"/>
      <c r="AU397" s="2295"/>
      <c r="AV397" s="2295"/>
      <c r="AW397" s="2295"/>
      <c r="AX397" s="2296"/>
      <c r="AY397" s="2289"/>
      <c r="AZ397" s="2289"/>
      <c r="BA397" s="2289"/>
      <c r="BB397" s="2289"/>
      <c r="BC397" s="2289"/>
      <c r="BD397" s="2289"/>
      <c r="BE397" s="2289"/>
      <c r="BF397" s="2289"/>
      <c r="BG397" s="2289"/>
      <c r="BH397" s="2289"/>
      <c r="BI397" s="2289"/>
      <c r="BJ397" s="2289"/>
      <c r="BK397" s="2289"/>
      <c r="BL397" s="2289"/>
      <c r="BM397" s="2289"/>
      <c r="BN397" s="2289"/>
      <c r="BO397" s="2289"/>
      <c r="BP397" s="2289"/>
      <c r="BQ397" s="2289"/>
      <c r="BR397" s="2289"/>
    </row>
    <row r="398" spans="1:70" ht="15.75" customHeight="1">
      <c r="A398" s="2289"/>
      <c r="B398" s="2289"/>
      <c r="C398" s="2289"/>
      <c r="D398" s="2289"/>
      <c r="E398" s="2289"/>
      <c r="F398" s="2289"/>
      <c r="G398" s="2290"/>
      <c r="H398" s="2289"/>
      <c r="I398" s="2289"/>
      <c r="J398" s="2290"/>
      <c r="K398" s="2289"/>
      <c r="L398" s="2289"/>
      <c r="M398" s="2290"/>
      <c r="N398" s="2290"/>
      <c r="O398" s="2290"/>
      <c r="P398" s="2290"/>
      <c r="Q398" s="2289"/>
      <c r="R398" s="2289"/>
      <c r="S398" s="2289"/>
      <c r="T398" s="2291"/>
      <c r="U398" s="2289"/>
      <c r="V398" s="2289"/>
      <c r="W398" s="2289"/>
      <c r="X398" s="2292"/>
      <c r="Y398" s="2292"/>
      <c r="Z398" s="2289"/>
      <c r="AA398" s="2289"/>
      <c r="AB398" s="2289"/>
      <c r="AC398" s="2289"/>
      <c r="AD398" s="2293"/>
      <c r="AE398" s="2293"/>
      <c r="AF398" s="2293"/>
      <c r="AG398" s="2293"/>
      <c r="AH398" s="2289"/>
      <c r="AI398" s="2289"/>
      <c r="AJ398" s="2294"/>
      <c r="AK398" s="2294"/>
      <c r="AL398" s="2289"/>
      <c r="AM398" s="2289"/>
      <c r="AN398" s="2289"/>
      <c r="AO398" s="2289"/>
      <c r="AP398" s="2289"/>
      <c r="AQ398" s="2289"/>
      <c r="AR398" s="2294"/>
      <c r="AS398" s="2294"/>
      <c r="AT398" s="2295"/>
      <c r="AU398" s="2295"/>
      <c r="AV398" s="2295"/>
      <c r="AW398" s="2295"/>
      <c r="AX398" s="2296"/>
      <c r="AY398" s="2289"/>
      <c r="AZ398" s="2289"/>
      <c r="BA398" s="2289"/>
      <c r="BB398" s="2289"/>
      <c r="BC398" s="2289"/>
      <c r="BD398" s="2289"/>
      <c r="BE398" s="2289"/>
      <c r="BF398" s="2289"/>
      <c r="BG398" s="2289"/>
      <c r="BH398" s="2289"/>
      <c r="BI398" s="2289"/>
      <c r="BJ398" s="2289"/>
      <c r="BK398" s="2289"/>
      <c r="BL398" s="2289"/>
      <c r="BM398" s="2289"/>
      <c r="BN398" s="2289"/>
      <c r="BO398" s="2289"/>
      <c r="BP398" s="2289"/>
      <c r="BQ398" s="2289"/>
      <c r="BR398" s="2289"/>
    </row>
    <row r="399" spans="1:70" ht="15.75" customHeight="1">
      <c r="A399" s="2289"/>
      <c r="B399" s="2289"/>
      <c r="C399" s="2289"/>
      <c r="D399" s="2289"/>
      <c r="E399" s="2289"/>
      <c r="F399" s="2289"/>
      <c r="G399" s="2290"/>
      <c r="H399" s="2289"/>
      <c r="I399" s="2289"/>
      <c r="J399" s="2290"/>
      <c r="K399" s="2289"/>
      <c r="L399" s="2289"/>
      <c r="M399" s="2290"/>
      <c r="N399" s="2290"/>
      <c r="O399" s="2290"/>
      <c r="P399" s="2290"/>
      <c r="Q399" s="2289"/>
      <c r="R399" s="2289"/>
      <c r="S399" s="2289"/>
      <c r="T399" s="2291"/>
      <c r="U399" s="2289"/>
      <c r="V399" s="2289"/>
      <c r="W399" s="2289"/>
      <c r="X399" s="2292"/>
      <c r="Y399" s="2292"/>
      <c r="Z399" s="2289"/>
      <c r="AA399" s="2289"/>
      <c r="AB399" s="2289"/>
      <c r="AC399" s="2289"/>
      <c r="AD399" s="2293"/>
      <c r="AE399" s="2293"/>
      <c r="AF399" s="2293"/>
      <c r="AG399" s="2293"/>
      <c r="AH399" s="2289"/>
      <c r="AI399" s="2289"/>
      <c r="AJ399" s="2294"/>
      <c r="AK399" s="2294"/>
      <c r="AL399" s="2289"/>
      <c r="AM399" s="2289"/>
      <c r="AN399" s="2289"/>
      <c r="AO399" s="2289"/>
      <c r="AP399" s="2289"/>
      <c r="AQ399" s="2289"/>
      <c r="AR399" s="2294"/>
      <c r="AS399" s="2294"/>
      <c r="AT399" s="2295"/>
      <c r="AU399" s="2295"/>
      <c r="AV399" s="2295"/>
      <c r="AW399" s="2295"/>
      <c r="AX399" s="2296"/>
      <c r="AY399" s="2289"/>
      <c r="AZ399" s="2289"/>
      <c r="BA399" s="2289"/>
      <c r="BB399" s="2289"/>
      <c r="BC399" s="2289"/>
      <c r="BD399" s="2289"/>
      <c r="BE399" s="2289"/>
      <c r="BF399" s="2289"/>
      <c r="BG399" s="2289"/>
      <c r="BH399" s="2289"/>
      <c r="BI399" s="2289"/>
      <c r="BJ399" s="2289"/>
      <c r="BK399" s="2289"/>
      <c r="BL399" s="2289"/>
      <c r="BM399" s="2289"/>
      <c r="BN399" s="2289"/>
      <c r="BO399" s="2289"/>
      <c r="BP399" s="2289"/>
      <c r="BQ399" s="2289"/>
      <c r="BR399" s="2289"/>
    </row>
    <row r="400" spans="1:70" ht="15.75" customHeight="1">
      <c r="A400" s="2289"/>
      <c r="B400" s="2289"/>
      <c r="C400" s="2289"/>
      <c r="D400" s="2289"/>
      <c r="E400" s="2289"/>
      <c r="F400" s="2289"/>
      <c r="G400" s="2290"/>
      <c r="H400" s="2289"/>
      <c r="I400" s="2289"/>
      <c r="J400" s="2290"/>
      <c r="K400" s="2289"/>
      <c r="L400" s="2289"/>
      <c r="M400" s="2290"/>
      <c r="N400" s="2290"/>
      <c r="O400" s="2290"/>
      <c r="P400" s="2290"/>
      <c r="Q400" s="2289"/>
      <c r="R400" s="2289"/>
      <c r="S400" s="2289"/>
      <c r="T400" s="2291"/>
      <c r="U400" s="2289"/>
      <c r="V400" s="2289"/>
      <c r="W400" s="2289"/>
      <c r="X400" s="2292"/>
      <c r="Y400" s="2292"/>
      <c r="Z400" s="2289"/>
      <c r="AA400" s="2289"/>
      <c r="AB400" s="2289"/>
      <c r="AC400" s="2289"/>
      <c r="AD400" s="2293"/>
      <c r="AE400" s="2293"/>
      <c r="AF400" s="2293"/>
      <c r="AG400" s="2293"/>
      <c r="AH400" s="2289"/>
      <c r="AI400" s="2289"/>
      <c r="AJ400" s="2294"/>
      <c r="AK400" s="2294"/>
      <c r="AL400" s="2289"/>
      <c r="AM400" s="2289"/>
      <c r="AN400" s="2289"/>
      <c r="AO400" s="2289"/>
      <c r="AP400" s="2289"/>
      <c r="AQ400" s="2289"/>
      <c r="AR400" s="2294"/>
      <c r="AS400" s="2294"/>
      <c r="AT400" s="2295"/>
      <c r="AU400" s="2295"/>
      <c r="AV400" s="2295"/>
      <c r="AW400" s="2295"/>
      <c r="AX400" s="2296"/>
      <c r="AY400" s="2289"/>
      <c r="AZ400" s="2289"/>
      <c r="BA400" s="2289"/>
      <c r="BB400" s="2289"/>
      <c r="BC400" s="2289"/>
      <c r="BD400" s="2289"/>
      <c r="BE400" s="2289"/>
      <c r="BF400" s="2289"/>
      <c r="BG400" s="2289"/>
      <c r="BH400" s="2289"/>
      <c r="BI400" s="2289"/>
      <c r="BJ400" s="2289"/>
      <c r="BK400" s="2289"/>
      <c r="BL400" s="2289"/>
      <c r="BM400" s="2289"/>
      <c r="BN400" s="2289"/>
      <c r="BO400" s="2289"/>
      <c r="BP400" s="2289"/>
      <c r="BQ400" s="2289"/>
      <c r="BR400" s="2289"/>
    </row>
    <row r="401" spans="1:70" ht="15.75" customHeight="1">
      <c r="A401" s="2289"/>
      <c r="B401" s="2289"/>
      <c r="C401" s="2289"/>
      <c r="D401" s="2289"/>
      <c r="E401" s="2289"/>
      <c r="F401" s="2289"/>
      <c r="G401" s="2290"/>
      <c r="H401" s="2289"/>
      <c r="I401" s="2289"/>
      <c r="J401" s="2290"/>
      <c r="K401" s="2289"/>
      <c r="L401" s="2289"/>
      <c r="M401" s="2290"/>
      <c r="N401" s="2290"/>
      <c r="O401" s="2290"/>
      <c r="P401" s="2290"/>
      <c r="Q401" s="2289"/>
      <c r="R401" s="2289"/>
      <c r="S401" s="2289"/>
      <c r="T401" s="2291"/>
      <c r="U401" s="2289"/>
      <c r="V401" s="2289"/>
      <c r="W401" s="2289"/>
      <c r="X401" s="2292"/>
      <c r="Y401" s="2292"/>
      <c r="Z401" s="2289"/>
      <c r="AA401" s="2289"/>
      <c r="AB401" s="2289"/>
      <c r="AC401" s="2289"/>
      <c r="AD401" s="2293"/>
      <c r="AE401" s="2293"/>
      <c r="AF401" s="2293"/>
      <c r="AG401" s="2293"/>
      <c r="AH401" s="2289"/>
      <c r="AI401" s="2289"/>
      <c r="AJ401" s="2294"/>
      <c r="AK401" s="2294"/>
      <c r="AL401" s="2289"/>
      <c r="AM401" s="2289"/>
      <c r="AN401" s="2289"/>
      <c r="AO401" s="2289"/>
      <c r="AP401" s="2289"/>
      <c r="AQ401" s="2289"/>
      <c r="AR401" s="2294"/>
      <c r="AS401" s="2294"/>
      <c r="AT401" s="2295"/>
      <c r="AU401" s="2295"/>
      <c r="AV401" s="2295"/>
      <c r="AW401" s="2295"/>
      <c r="AX401" s="2296"/>
      <c r="AY401" s="2289"/>
      <c r="AZ401" s="2289"/>
      <c r="BA401" s="2289"/>
      <c r="BB401" s="2289"/>
      <c r="BC401" s="2289"/>
      <c r="BD401" s="2289"/>
      <c r="BE401" s="2289"/>
      <c r="BF401" s="2289"/>
      <c r="BG401" s="2289"/>
      <c r="BH401" s="2289"/>
      <c r="BI401" s="2289"/>
      <c r="BJ401" s="2289"/>
      <c r="BK401" s="2289"/>
      <c r="BL401" s="2289"/>
      <c r="BM401" s="2289"/>
      <c r="BN401" s="2289"/>
      <c r="BO401" s="2289"/>
      <c r="BP401" s="2289"/>
      <c r="BQ401" s="2289"/>
      <c r="BR401" s="2289"/>
    </row>
    <row r="402" spans="1:70" ht="15.75" customHeight="1">
      <c r="A402" s="2289"/>
      <c r="B402" s="2289"/>
      <c r="C402" s="2289"/>
      <c r="D402" s="2289"/>
      <c r="E402" s="2289"/>
      <c r="F402" s="2289"/>
      <c r="G402" s="2290"/>
      <c r="H402" s="2289"/>
      <c r="I402" s="2289"/>
      <c r="J402" s="2290"/>
      <c r="K402" s="2289"/>
      <c r="L402" s="2289"/>
      <c r="M402" s="2290"/>
      <c r="N402" s="2290"/>
      <c r="O402" s="2290"/>
      <c r="P402" s="2290"/>
      <c r="Q402" s="2289"/>
      <c r="R402" s="2289"/>
      <c r="S402" s="2289"/>
      <c r="T402" s="2291"/>
      <c r="U402" s="2289"/>
      <c r="V402" s="2289"/>
      <c r="W402" s="2289"/>
      <c r="X402" s="2292"/>
      <c r="Y402" s="2292"/>
      <c r="Z402" s="2289"/>
      <c r="AA402" s="2289"/>
      <c r="AB402" s="2289"/>
      <c r="AC402" s="2289"/>
      <c r="AD402" s="2293"/>
      <c r="AE402" s="2293"/>
      <c r="AF402" s="2293"/>
      <c r="AG402" s="2293"/>
      <c r="AH402" s="2289"/>
      <c r="AI402" s="2289"/>
      <c r="AJ402" s="2294"/>
      <c r="AK402" s="2294"/>
      <c r="AL402" s="2289"/>
      <c r="AM402" s="2289"/>
      <c r="AN402" s="2289"/>
      <c r="AO402" s="2289"/>
      <c r="AP402" s="2289"/>
      <c r="AQ402" s="2289"/>
      <c r="AR402" s="2294"/>
      <c r="AS402" s="2294"/>
      <c r="AT402" s="2295"/>
      <c r="AU402" s="2295"/>
      <c r="AV402" s="2295"/>
      <c r="AW402" s="2295"/>
      <c r="AX402" s="2296"/>
      <c r="AY402" s="2289"/>
      <c r="AZ402" s="2289"/>
      <c r="BA402" s="2289"/>
      <c r="BB402" s="2289"/>
      <c r="BC402" s="2289"/>
      <c r="BD402" s="2289"/>
      <c r="BE402" s="2289"/>
      <c r="BF402" s="2289"/>
      <c r="BG402" s="2289"/>
      <c r="BH402" s="2289"/>
      <c r="BI402" s="2289"/>
      <c r="BJ402" s="2289"/>
      <c r="BK402" s="2289"/>
      <c r="BL402" s="2289"/>
      <c r="BM402" s="2289"/>
      <c r="BN402" s="2289"/>
      <c r="BO402" s="2289"/>
      <c r="BP402" s="2289"/>
      <c r="BQ402" s="2289"/>
      <c r="BR402" s="2289"/>
    </row>
    <row r="403" spans="1:70" ht="15.75" customHeight="1">
      <c r="A403" s="2289"/>
      <c r="B403" s="2289"/>
      <c r="C403" s="2289"/>
      <c r="D403" s="2289"/>
      <c r="E403" s="2289"/>
      <c r="F403" s="2289"/>
      <c r="G403" s="2290"/>
      <c r="H403" s="2289"/>
      <c r="I403" s="2289"/>
      <c r="J403" s="2290"/>
      <c r="K403" s="2289"/>
      <c r="L403" s="2289"/>
      <c r="M403" s="2290"/>
      <c r="N403" s="2290"/>
      <c r="O403" s="2290"/>
      <c r="P403" s="2290"/>
      <c r="Q403" s="2289"/>
      <c r="R403" s="2289"/>
      <c r="S403" s="2289"/>
      <c r="T403" s="2291"/>
      <c r="U403" s="2289"/>
      <c r="V403" s="2289"/>
      <c r="W403" s="2289"/>
      <c r="X403" s="2292"/>
      <c r="Y403" s="2292"/>
      <c r="Z403" s="2289"/>
      <c r="AA403" s="2289"/>
      <c r="AB403" s="2289"/>
      <c r="AC403" s="2289"/>
      <c r="AD403" s="2293"/>
      <c r="AE403" s="2293"/>
      <c r="AF403" s="2293"/>
      <c r="AG403" s="2293"/>
      <c r="AH403" s="2289"/>
      <c r="AI403" s="2289"/>
      <c r="AJ403" s="2294"/>
      <c r="AK403" s="2294"/>
      <c r="AL403" s="2289"/>
      <c r="AM403" s="2289"/>
      <c r="AN403" s="2289"/>
      <c r="AO403" s="2289"/>
      <c r="AP403" s="2289"/>
      <c r="AQ403" s="2289"/>
      <c r="AR403" s="2294"/>
      <c r="AS403" s="2294"/>
      <c r="AT403" s="2295"/>
      <c r="AU403" s="2295"/>
      <c r="AV403" s="2295"/>
      <c r="AW403" s="2295"/>
      <c r="AX403" s="2296"/>
      <c r="AY403" s="2289"/>
      <c r="AZ403" s="2289"/>
      <c r="BA403" s="2289"/>
      <c r="BB403" s="2289"/>
      <c r="BC403" s="2289"/>
      <c r="BD403" s="2289"/>
      <c r="BE403" s="2289"/>
      <c r="BF403" s="2289"/>
      <c r="BG403" s="2289"/>
      <c r="BH403" s="2289"/>
      <c r="BI403" s="2289"/>
      <c r="BJ403" s="2289"/>
      <c r="BK403" s="2289"/>
      <c r="BL403" s="2289"/>
      <c r="BM403" s="2289"/>
      <c r="BN403" s="2289"/>
      <c r="BO403" s="2289"/>
      <c r="BP403" s="2289"/>
      <c r="BQ403" s="2289"/>
      <c r="BR403" s="2289"/>
    </row>
    <row r="404" spans="1:70" ht="15.75" customHeight="1">
      <c r="A404" s="2289"/>
      <c r="B404" s="2289"/>
      <c r="C404" s="2289"/>
      <c r="D404" s="2289"/>
      <c r="E404" s="2289"/>
      <c r="F404" s="2289"/>
      <c r="G404" s="2290"/>
      <c r="H404" s="2289"/>
      <c r="I404" s="2289"/>
      <c r="J404" s="2290"/>
      <c r="K404" s="2289"/>
      <c r="L404" s="2289"/>
      <c r="M404" s="2290"/>
      <c r="N404" s="2290"/>
      <c r="O404" s="2290"/>
      <c r="P404" s="2290"/>
      <c r="Q404" s="2289"/>
      <c r="R404" s="2289"/>
      <c r="S404" s="2289"/>
      <c r="T404" s="2291"/>
      <c r="U404" s="2289"/>
      <c r="V404" s="2289"/>
      <c r="W404" s="2289"/>
      <c r="X404" s="2292"/>
      <c r="Y404" s="2292"/>
      <c r="Z404" s="2289"/>
      <c r="AA404" s="2289"/>
      <c r="AB404" s="2289"/>
      <c r="AC404" s="2289"/>
      <c r="AD404" s="2293"/>
      <c r="AE404" s="2293"/>
      <c r="AF404" s="2293"/>
      <c r="AG404" s="2293"/>
      <c r="AH404" s="2289"/>
      <c r="AI404" s="2289"/>
      <c r="AJ404" s="2294"/>
      <c r="AK404" s="2294"/>
      <c r="AL404" s="2289"/>
      <c r="AM404" s="2289"/>
      <c r="AN404" s="2289"/>
      <c r="AO404" s="2289"/>
      <c r="AP404" s="2289"/>
      <c r="AQ404" s="2289"/>
      <c r="AR404" s="2294"/>
      <c r="AS404" s="2294"/>
      <c r="AT404" s="2295"/>
      <c r="AU404" s="2295"/>
      <c r="AV404" s="2295"/>
      <c r="AW404" s="2295"/>
      <c r="AX404" s="2296"/>
      <c r="AY404" s="2289"/>
      <c r="AZ404" s="2289"/>
      <c r="BA404" s="2289"/>
      <c r="BB404" s="2289"/>
      <c r="BC404" s="2289"/>
      <c r="BD404" s="2289"/>
      <c r="BE404" s="2289"/>
      <c r="BF404" s="2289"/>
      <c r="BG404" s="2289"/>
      <c r="BH404" s="2289"/>
      <c r="BI404" s="2289"/>
      <c r="BJ404" s="2289"/>
      <c r="BK404" s="2289"/>
      <c r="BL404" s="2289"/>
      <c r="BM404" s="2289"/>
      <c r="BN404" s="2289"/>
      <c r="BO404" s="2289"/>
      <c r="BP404" s="2289"/>
      <c r="BQ404" s="2289"/>
      <c r="BR404" s="2289"/>
    </row>
    <row r="405" spans="1:70" ht="15.75" customHeight="1">
      <c r="A405" s="2289"/>
      <c r="B405" s="2289"/>
      <c r="C405" s="2289"/>
      <c r="D405" s="2289"/>
      <c r="E405" s="2289"/>
      <c r="F405" s="2289"/>
      <c r="G405" s="2290"/>
      <c r="H405" s="2289"/>
      <c r="I405" s="2289"/>
      <c r="J405" s="2290"/>
      <c r="K405" s="2289"/>
      <c r="L405" s="2289"/>
      <c r="M405" s="2290"/>
      <c r="N405" s="2290"/>
      <c r="O405" s="2290"/>
      <c r="P405" s="2290"/>
      <c r="Q405" s="2289"/>
      <c r="R405" s="2289"/>
      <c r="S405" s="2289"/>
      <c r="T405" s="2291"/>
      <c r="U405" s="2289"/>
      <c r="V405" s="2289"/>
      <c r="W405" s="2289"/>
      <c r="X405" s="2292"/>
      <c r="Y405" s="2292"/>
      <c r="Z405" s="2289"/>
      <c r="AA405" s="2289"/>
      <c r="AB405" s="2289"/>
      <c r="AC405" s="2289"/>
      <c r="AD405" s="2293"/>
      <c r="AE405" s="2293"/>
      <c r="AF405" s="2293"/>
      <c r="AG405" s="2293"/>
      <c r="AH405" s="2289"/>
      <c r="AI405" s="2289"/>
      <c r="AJ405" s="2294"/>
      <c r="AK405" s="2294"/>
      <c r="AL405" s="2289"/>
      <c r="AM405" s="2289"/>
      <c r="AN405" s="2289"/>
      <c r="AO405" s="2289"/>
      <c r="AP405" s="2289"/>
      <c r="AQ405" s="2289"/>
      <c r="AR405" s="2294"/>
      <c r="AS405" s="2294"/>
      <c r="AT405" s="2295"/>
      <c r="AU405" s="2295"/>
      <c r="AV405" s="2295"/>
      <c r="AW405" s="2295"/>
      <c r="AX405" s="2296"/>
      <c r="AY405" s="2289"/>
      <c r="AZ405" s="2289"/>
      <c r="BA405" s="2289"/>
      <c r="BB405" s="2289"/>
      <c r="BC405" s="2289"/>
      <c r="BD405" s="2289"/>
      <c r="BE405" s="2289"/>
      <c r="BF405" s="2289"/>
      <c r="BG405" s="2289"/>
      <c r="BH405" s="2289"/>
      <c r="BI405" s="2289"/>
      <c r="BJ405" s="2289"/>
      <c r="BK405" s="2289"/>
      <c r="BL405" s="2289"/>
      <c r="BM405" s="2289"/>
      <c r="BN405" s="2289"/>
      <c r="BO405" s="2289"/>
      <c r="BP405" s="2289"/>
      <c r="BQ405" s="2289"/>
      <c r="BR405" s="2289"/>
    </row>
    <row r="406" spans="1:70" ht="15.75" customHeight="1">
      <c r="A406" s="2289"/>
      <c r="B406" s="2289"/>
      <c r="C406" s="2289"/>
      <c r="D406" s="2289"/>
      <c r="E406" s="2289"/>
      <c r="F406" s="2289"/>
      <c r="G406" s="2290"/>
      <c r="H406" s="2289"/>
      <c r="I406" s="2289"/>
      <c r="J406" s="2290"/>
      <c r="K406" s="2289"/>
      <c r="L406" s="2289"/>
      <c r="M406" s="2290"/>
      <c r="N406" s="2290"/>
      <c r="O406" s="2290"/>
      <c r="P406" s="2290"/>
      <c r="Q406" s="2289"/>
      <c r="R406" s="2289"/>
      <c r="S406" s="2289"/>
      <c r="T406" s="2291"/>
      <c r="U406" s="2289"/>
      <c r="V406" s="2289"/>
      <c r="W406" s="2289"/>
      <c r="X406" s="2292"/>
      <c r="Y406" s="2292"/>
      <c r="Z406" s="2289"/>
      <c r="AA406" s="2289"/>
      <c r="AB406" s="2289"/>
      <c r="AC406" s="2289"/>
      <c r="AD406" s="2293"/>
      <c r="AE406" s="2293"/>
      <c r="AF406" s="2293"/>
      <c r="AG406" s="2293"/>
      <c r="AH406" s="2289"/>
      <c r="AI406" s="2289"/>
      <c r="AJ406" s="2294"/>
      <c r="AK406" s="2294"/>
      <c r="AL406" s="2289"/>
      <c r="AM406" s="2289"/>
      <c r="AN406" s="2289"/>
      <c r="AO406" s="2289"/>
      <c r="AP406" s="2289"/>
      <c r="AQ406" s="2289"/>
      <c r="AR406" s="2294"/>
      <c r="AS406" s="2294"/>
      <c r="AT406" s="2295"/>
      <c r="AU406" s="2295"/>
      <c r="AV406" s="2295"/>
      <c r="AW406" s="2295"/>
      <c r="AX406" s="2296"/>
      <c r="AY406" s="2289"/>
      <c r="AZ406" s="2289"/>
      <c r="BA406" s="2289"/>
      <c r="BB406" s="2289"/>
      <c r="BC406" s="2289"/>
      <c r="BD406" s="2289"/>
      <c r="BE406" s="2289"/>
      <c r="BF406" s="2289"/>
      <c r="BG406" s="2289"/>
      <c r="BH406" s="2289"/>
      <c r="BI406" s="2289"/>
      <c r="BJ406" s="2289"/>
      <c r="BK406" s="2289"/>
      <c r="BL406" s="2289"/>
      <c r="BM406" s="2289"/>
      <c r="BN406" s="2289"/>
      <c r="BO406" s="2289"/>
      <c r="BP406" s="2289"/>
      <c r="BQ406" s="2289"/>
      <c r="BR406" s="2289"/>
    </row>
    <row r="407" spans="1:70" ht="15.75" customHeight="1">
      <c r="A407" s="2289"/>
      <c r="B407" s="2289"/>
      <c r="C407" s="2289"/>
      <c r="D407" s="2289"/>
      <c r="E407" s="2289"/>
      <c r="F407" s="2289"/>
      <c r="G407" s="2290"/>
      <c r="H407" s="2289"/>
      <c r="I407" s="2289"/>
      <c r="J407" s="2290"/>
      <c r="K407" s="2289"/>
      <c r="L407" s="2289"/>
      <c r="M407" s="2290"/>
      <c r="N407" s="2290"/>
      <c r="O407" s="2290"/>
      <c r="P407" s="2290"/>
      <c r="Q407" s="2289"/>
      <c r="R407" s="2289"/>
      <c r="S407" s="2289"/>
      <c r="T407" s="2291"/>
      <c r="U407" s="2289"/>
      <c r="V407" s="2289"/>
      <c r="W407" s="2289"/>
      <c r="X407" s="2292"/>
      <c r="Y407" s="2292"/>
      <c r="Z407" s="2289"/>
      <c r="AA407" s="2289"/>
      <c r="AB407" s="2289"/>
      <c r="AC407" s="2289"/>
      <c r="AD407" s="2293"/>
      <c r="AE407" s="2293"/>
      <c r="AF407" s="2293"/>
      <c r="AG407" s="2293"/>
      <c r="AH407" s="2289"/>
      <c r="AI407" s="2289"/>
      <c r="AJ407" s="2294"/>
      <c r="AK407" s="2294"/>
      <c r="AL407" s="2289"/>
      <c r="AM407" s="2289"/>
      <c r="AN407" s="2289"/>
      <c r="AO407" s="2289"/>
      <c r="AP407" s="2289"/>
      <c r="AQ407" s="2289"/>
      <c r="AR407" s="2294"/>
      <c r="AS407" s="2294"/>
      <c r="AT407" s="2295"/>
      <c r="AU407" s="2295"/>
      <c r="AV407" s="2295"/>
      <c r="AW407" s="2295"/>
      <c r="AX407" s="2296"/>
      <c r="AY407" s="2289"/>
      <c r="AZ407" s="2289"/>
      <c r="BA407" s="2289"/>
      <c r="BB407" s="2289"/>
      <c r="BC407" s="2289"/>
      <c r="BD407" s="2289"/>
      <c r="BE407" s="2289"/>
      <c r="BF407" s="2289"/>
      <c r="BG407" s="2289"/>
      <c r="BH407" s="2289"/>
      <c r="BI407" s="2289"/>
      <c r="BJ407" s="2289"/>
      <c r="BK407" s="2289"/>
      <c r="BL407" s="2289"/>
      <c r="BM407" s="2289"/>
      <c r="BN407" s="2289"/>
      <c r="BO407" s="2289"/>
      <c r="BP407" s="2289"/>
      <c r="BQ407" s="2289"/>
      <c r="BR407" s="2289"/>
    </row>
    <row r="408" spans="1:70" ht="15.75" customHeight="1">
      <c r="A408" s="2289"/>
      <c r="B408" s="2289"/>
      <c r="C408" s="2289"/>
      <c r="D408" s="2289"/>
      <c r="E408" s="2289"/>
      <c r="F408" s="2289"/>
      <c r="G408" s="2290"/>
      <c r="H408" s="2289"/>
      <c r="I408" s="2289"/>
      <c r="J408" s="2290"/>
      <c r="K408" s="2289"/>
      <c r="L408" s="2289"/>
      <c r="M408" s="2290"/>
      <c r="N408" s="2290"/>
      <c r="O408" s="2290"/>
      <c r="P408" s="2290"/>
      <c r="Q408" s="2289"/>
      <c r="R408" s="2289"/>
      <c r="S408" s="2289"/>
      <c r="T408" s="2291"/>
      <c r="U408" s="2289"/>
      <c r="V408" s="2289"/>
      <c r="W408" s="2289"/>
      <c r="X408" s="2292"/>
      <c r="Y408" s="2292"/>
      <c r="Z408" s="2289"/>
      <c r="AA408" s="2289"/>
      <c r="AB408" s="2289"/>
      <c r="AC408" s="2289"/>
      <c r="AD408" s="2293"/>
      <c r="AE408" s="2293"/>
      <c r="AF408" s="2293"/>
      <c r="AG408" s="2293"/>
      <c r="AH408" s="2289"/>
      <c r="AI408" s="2289"/>
      <c r="AJ408" s="2294"/>
      <c r="AK408" s="2294"/>
      <c r="AL408" s="2289"/>
      <c r="AM408" s="2289"/>
      <c r="AN408" s="2289"/>
      <c r="AO408" s="2289"/>
      <c r="AP408" s="2289"/>
      <c r="AQ408" s="2289"/>
      <c r="AR408" s="2294"/>
      <c r="AS408" s="2294"/>
      <c r="AT408" s="2295"/>
      <c r="AU408" s="2295"/>
      <c r="AV408" s="2295"/>
      <c r="AW408" s="2295"/>
      <c r="AX408" s="2296"/>
      <c r="AY408" s="2289"/>
      <c r="AZ408" s="2289"/>
      <c r="BA408" s="2289"/>
      <c r="BB408" s="2289"/>
      <c r="BC408" s="2289"/>
      <c r="BD408" s="2289"/>
      <c r="BE408" s="2289"/>
      <c r="BF408" s="2289"/>
      <c r="BG408" s="2289"/>
      <c r="BH408" s="2289"/>
      <c r="BI408" s="2289"/>
      <c r="BJ408" s="2289"/>
      <c r="BK408" s="2289"/>
      <c r="BL408" s="2289"/>
      <c r="BM408" s="2289"/>
      <c r="BN408" s="2289"/>
      <c r="BO408" s="2289"/>
      <c r="BP408" s="2289"/>
      <c r="BQ408" s="2289"/>
      <c r="BR408" s="2289"/>
    </row>
    <row r="409" spans="1:70" ht="15.75" customHeight="1">
      <c r="A409" s="2289"/>
      <c r="B409" s="2289"/>
      <c r="C409" s="2289"/>
      <c r="D409" s="2289"/>
      <c r="E409" s="2289"/>
      <c r="F409" s="2289"/>
      <c r="G409" s="2290"/>
      <c r="H409" s="2289"/>
      <c r="I409" s="2289"/>
      <c r="J409" s="2290"/>
      <c r="K409" s="2289"/>
      <c r="L409" s="2289"/>
      <c r="M409" s="2290"/>
      <c r="N409" s="2290"/>
      <c r="O409" s="2290"/>
      <c r="P409" s="2290"/>
      <c r="Q409" s="2289"/>
      <c r="R409" s="2289"/>
      <c r="S409" s="2289"/>
      <c r="T409" s="2291"/>
      <c r="U409" s="2289"/>
      <c r="V409" s="2289"/>
      <c r="W409" s="2289"/>
      <c r="X409" s="2292"/>
      <c r="Y409" s="2292"/>
      <c r="Z409" s="2289"/>
      <c r="AA409" s="2289"/>
      <c r="AB409" s="2289"/>
      <c r="AC409" s="2289"/>
      <c r="AD409" s="2293"/>
      <c r="AE409" s="2293"/>
      <c r="AF409" s="2293"/>
      <c r="AG409" s="2293"/>
      <c r="AH409" s="2289"/>
      <c r="AI409" s="2289"/>
      <c r="AJ409" s="2294"/>
      <c r="AK409" s="2294"/>
      <c r="AL409" s="2289"/>
      <c r="AM409" s="2289"/>
      <c r="AN409" s="2289"/>
      <c r="AO409" s="2289"/>
      <c r="AP409" s="2289"/>
      <c r="AQ409" s="2289"/>
      <c r="AR409" s="2294"/>
      <c r="AS409" s="2294"/>
      <c r="AT409" s="2295"/>
      <c r="AU409" s="2295"/>
      <c r="AV409" s="2295"/>
      <c r="AW409" s="2295"/>
      <c r="AX409" s="2296"/>
      <c r="AY409" s="2289"/>
      <c r="AZ409" s="2289"/>
      <c r="BA409" s="2289"/>
      <c r="BB409" s="2289"/>
      <c r="BC409" s="2289"/>
      <c r="BD409" s="2289"/>
      <c r="BE409" s="2289"/>
      <c r="BF409" s="2289"/>
      <c r="BG409" s="2289"/>
      <c r="BH409" s="2289"/>
      <c r="BI409" s="2289"/>
      <c r="BJ409" s="2289"/>
      <c r="BK409" s="2289"/>
      <c r="BL409" s="2289"/>
      <c r="BM409" s="2289"/>
      <c r="BN409" s="2289"/>
      <c r="BO409" s="2289"/>
      <c r="BP409" s="2289"/>
      <c r="BQ409" s="2289"/>
      <c r="BR409" s="2289"/>
    </row>
    <row r="410" spans="1:70" ht="15.75" customHeight="1">
      <c r="A410" s="2289"/>
      <c r="B410" s="2289"/>
      <c r="C410" s="2289"/>
      <c r="D410" s="2289"/>
      <c r="E410" s="2289"/>
      <c r="F410" s="2289"/>
      <c r="G410" s="2290"/>
      <c r="H410" s="2289"/>
      <c r="I410" s="2289"/>
      <c r="J410" s="2290"/>
      <c r="K410" s="2289"/>
      <c r="L410" s="2289"/>
      <c r="M410" s="2290"/>
      <c r="N410" s="2290"/>
      <c r="O410" s="2290"/>
      <c r="P410" s="2290"/>
      <c r="Q410" s="2289"/>
      <c r="R410" s="2289"/>
      <c r="S410" s="2289"/>
      <c r="T410" s="2291"/>
      <c r="U410" s="2289"/>
      <c r="V410" s="2289"/>
      <c r="W410" s="2289"/>
      <c r="X410" s="2292"/>
      <c r="Y410" s="2292"/>
      <c r="Z410" s="2289"/>
      <c r="AA410" s="2289"/>
      <c r="AB410" s="2289"/>
      <c r="AC410" s="2289"/>
      <c r="AD410" s="2293"/>
      <c r="AE410" s="2293"/>
      <c r="AF410" s="2293"/>
      <c r="AG410" s="2293"/>
      <c r="AH410" s="2289"/>
      <c r="AI410" s="2289"/>
      <c r="AJ410" s="2294"/>
      <c r="AK410" s="2294"/>
      <c r="AL410" s="2289"/>
      <c r="AM410" s="2289"/>
      <c r="AN410" s="2289"/>
      <c r="AO410" s="2289"/>
      <c r="AP410" s="2289"/>
      <c r="AQ410" s="2289"/>
      <c r="AR410" s="2294"/>
      <c r="AS410" s="2294"/>
      <c r="AT410" s="2295"/>
      <c r="AU410" s="2295"/>
      <c r="AV410" s="2295"/>
      <c r="AW410" s="2295"/>
      <c r="AX410" s="2296"/>
      <c r="AY410" s="2289"/>
      <c r="AZ410" s="2289"/>
      <c r="BA410" s="2289"/>
      <c r="BB410" s="2289"/>
      <c r="BC410" s="2289"/>
      <c r="BD410" s="2289"/>
      <c r="BE410" s="2289"/>
      <c r="BF410" s="2289"/>
      <c r="BG410" s="2289"/>
      <c r="BH410" s="2289"/>
      <c r="BI410" s="2289"/>
      <c r="BJ410" s="2289"/>
      <c r="BK410" s="2289"/>
      <c r="BL410" s="2289"/>
      <c r="BM410" s="2289"/>
      <c r="BN410" s="2289"/>
      <c r="BO410" s="2289"/>
      <c r="BP410" s="2289"/>
      <c r="BQ410" s="2289"/>
      <c r="BR410" s="2289"/>
    </row>
    <row r="411" spans="1:70" ht="15.75" customHeight="1">
      <c r="A411" s="2289"/>
      <c r="B411" s="2289"/>
      <c r="C411" s="2289"/>
      <c r="D411" s="2289"/>
      <c r="E411" s="2289"/>
      <c r="F411" s="2289"/>
      <c r="G411" s="2290"/>
      <c r="H411" s="2289"/>
      <c r="I411" s="2289"/>
      <c r="J411" s="2290"/>
      <c r="K411" s="2289"/>
      <c r="L411" s="2289"/>
      <c r="M411" s="2290"/>
      <c r="N411" s="2290"/>
      <c r="O411" s="2290"/>
      <c r="P411" s="2290"/>
      <c r="Q411" s="2289"/>
      <c r="R411" s="2289"/>
      <c r="S411" s="2289"/>
      <c r="T411" s="2291"/>
      <c r="U411" s="2289"/>
      <c r="V411" s="2289"/>
      <c r="W411" s="2289"/>
      <c r="X411" s="2292"/>
      <c r="Y411" s="2292"/>
      <c r="Z411" s="2289"/>
      <c r="AA411" s="2289"/>
      <c r="AB411" s="2289"/>
      <c r="AC411" s="2289"/>
      <c r="AD411" s="2293"/>
      <c r="AE411" s="2293"/>
      <c r="AF411" s="2293"/>
      <c r="AG411" s="2293"/>
      <c r="AH411" s="2289"/>
      <c r="AI411" s="2289"/>
      <c r="AJ411" s="2294"/>
      <c r="AK411" s="2294"/>
      <c r="AL411" s="2289"/>
      <c r="AM411" s="2289"/>
      <c r="AN411" s="2289"/>
      <c r="AO411" s="2289"/>
      <c r="AP411" s="2289"/>
      <c r="AQ411" s="2289"/>
      <c r="AR411" s="2294"/>
      <c r="AS411" s="2294"/>
      <c r="AT411" s="2295"/>
      <c r="AU411" s="2295"/>
      <c r="AV411" s="2295"/>
      <c r="AW411" s="2295"/>
      <c r="AX411" s="2296"/>
      <c r="AY411" s="2289"/>
      <c r="AZ411" s="2289"/>
      <c r="BA411" s="2289"/>
      <c r="BB411" s="2289"/>
      <c r="BC411" s="2289"/>
      <c r="BD411" s="2289"/>
      <c r="BE411" s="2289"/>
      <c r="BF411" s="2289"/>
      <c r="BG411" s="2289"/>
      <c r="BH411" s="2289"/>
      <c r="BI411" s="2289"/>
      <c r="BJ411" s="2289"/>
      <c r="BK411" s="2289"/>
      <c r="BL411" s="2289"/>
      <c r="BM411" s="2289"/>
      <c r="BN411" s="2289"/>
      <c r="BO411" s="2289"/>
      <c r="BP411" s="2289"/>
      <c r="BQ411" s="2289"/>
      <c r="BR411" s="2289"/>
    </row>
    <row r="412" spans="1:70" ht="15.75" customHeight="1">
      <c r="A412" s="2289"/>
      <c r="B412" s="2289"/>
      <c r="C412" s="2289"/>
      <c r="D412" s="2289"/>
      <c r="E412" s="2289"/>
      <c r="F412" s="2289"/>
      <c r="G412" s="2290"/>
      <c r="H412" s="2289"/>
      <c r="I412" s="2289"/>
      <c r="J412" s="2290"/>
      <c r="K412" s="2289"/>
      <c r="L412" s="2289"/>
      <c r="M412" s="2290"/>
      <c r="N412" s="2290"/>
      <c r="O412" s="2290"/>
      <c r="P412" s="2290"/>
      <c r="Q412" s="2289"/>
      <c r="R412" s="2289"/>
      <c r="S412" s="2289"/>
      <c r="T412" s="2291"/>
      <c r="U412" s="2289"/>
      <c r="V412" s="2289"/>
      <c r="W412" s="2289"/>
      <c r="X412" s="2292"/>
      <c r="Y412" s="2292"/>
      <c r="Z412" s="2289"/>
      <c r="AA412" s="2289"/>
      <c r="AB412" s="2289"/>
      <c r="AC412" s="2289"/>
      <c r="AD412" s="2293"/>
      <c r="AE412" s="2293"/>
      <c r="AF412" s="2293"/>
      <c r="AG412" s="2293"/>
      <c r="AH412" s="2289"/>
      <c r="AI412" s="2289"/>
      <c r="AJ412" s="2294"/>
      <c r="AK412" s="2294"/>
      <c r="AL412" s="2289"/>
      <c r="AM412" s="2289"/>
      <c r="AN412" s="2289"/>
      <c r="AO412" s="2289"/>
      <c r="AP412" s="2289"/>
      <c r="AQ412" s="2289"/>
      <c r="AR412" s="2294"/>
      <c r="AS412" s="2294"/>
      <c r="AT412" s="2295"/>
      <c r="AU412" s="2295"/>
      <c r="AV412" s="2295"/>
      <c r="AW412" s="2295"/>
      <c r="AX412" s="2296"/>
      <c r="AY412" s="2289"/>
      <c r="AZ412" s="2289"/>
      <c r="BA412" s="2289"/>
      <c r="BB412" s="2289"/>
      <c r="BC412" s="2289"/>
      <c r="BD412" s="2289"/>
      <c r="BE412" s="2289"/>
      <c r="BF412" s="2289"/>
      <c r="BG412" s="2289"/>
      <c r="BH412" s="2289"/>
      <c r="BI412" s="2289"/>
      <c r="BJ412" s="2289"/>
      <c r="BK412" s="2289"/>
      <c r="BL412" s="2289"/>
      <c r="BM412" s="2289"/>
      <c r="BN412" s="2289"/>
      <c r="BO412" s="2289"/>
      <c r="BP412" s="2289"/>
      <c r="BQ412" s="2289"/>
      <c r="BR412" s="2289"/>
    </row>
    <row r="413" spans="1:70" ht="15.75" customHeight="1">
      <c r="A413" s="2289"/>
      <c r="B413" s="2289"/>
      <c r="C413" s="2289"/>
      <c r="D413" s="2289"/>
      <c r="E413" s="2289"/>
      <c r="F413" s="2289"/>
      <c r="G413" s="2290"/>
      <c r="H413" s="2289"/>
      <c r="I413" s="2289"/>
      <c r="J413" s="2290"/>
      <c r="K413" s="2289"/>
      <c r="L413" s="2289"/>
      <c r="M413" s="2290"/>
      <c r="N413" s="2290"/>
      <c r="O413" s="2290"/>
      <c r="P413" s="2290"/>
      <c r="Q413" s="2289"/>
      <c r="R413" s="2289"/>
      <c r="S413" s="2289"/>
      <c r="T413" s="2291"/>
      <c r="U413" s="2289"/>
      <c r="V413" s="2289"/>
      <c r="W413" s="2289"/>
      <c r="X413" s="2292"/>
      <c r="Y413" s="2292"/>
      <c r="Z413" s="2289"/>
      <c r="AA413" s="2289"/>
      <c r="AB413" s="2289"/>
      <c r="AC413" s="2289"/>
      <c r="AD413" s="2293"/>
      <c r="AE413" s="2293"/>
      <c r="AF413" s="2293"/>
      <c r="AG413" s="2293"/>
      <c r="AH413" s="2289"/>
      <c r="AI413" s="2289"/>
      <c r="AJ413" s="2294"/>
      <c r="AK413" s="2294"/>
      <c r="AL413" s="2289"/>
      <c r="AM413" s="2289"/>
      <c r="AN413" s="2289"/>
      <c r="AO413" s="2289"/>
      <c r="AP413" s="2289"/>
      <c r="AQ413" s="2289"/>
      <c r="AR413" s="2294"/>
      <c r="AS413" s="2294"/>
      <c r="AT413" s="2295"/>
      <c r="AU413" s="2295"/>
      <c r="AV413" s="2295"/>
      <c r="AW413" s="2295"/>
      <c r="AX413" s="2296"/>
      <c r="AY413" s="2289"/>
      <c r="AZ413" s="2289"/>
      <c r="BA413" s="2289"/>
      <c r="BB413" s="2289"/>
      <c r="BC413" s="2289"/>
      <c r="BD413" s="2289"/>
      <c r="BE413" s="2289"/>
      <c r="BF413" s="2289"/>
      <c r="BG413" s="2289"/>
      <c r="BH413" s="2289"/>
      <c r="BI413" s="2289"/>
      <c r="BJ413" s="2289"/>
      <c r="BK413" s="2289"/>
      <c r="BL413" s="2289"/>
      <c r="BM413" s="2289"/>
      <c r="BN413" s="2289"/>
      <c r="BO413" s="2289"/>
      <c r="BP413" s="2289"/>
      <c r="BQ413" s="2289"/>
      <c r="BR413" s="2289"/>
    </row>
    <row r="414" spans="1:70" ht="15.75" customHeight="1">
      <c r="A414" s="2289"/>
      <c r="B414" s="2289"/>
      <c r="C414" s="2289"/>
      <c r="D414" s="2289"/>
      <c r="E414" s="2289"/>
      <c r="F414" s="2289"/>
      <c r="G414" s="2290"/>
      <c r="H414" s="2289"/>
      <c r="I414" s="2289"/>
      <c r="J414" s="2290"/>
      <c r="K414" s="2289"/>
      <c r="L414" s="2289"/>
      <c r="M414" s="2290"/>
      <c r="N414" s="2290"/>
      <c r="O414" s="2290"/>
      <c r="P414" s="2290"/>
      <c r="Q414" s="2289"/>
      <c r="R414" s="2289"/>
      <c r="S414" s="2289"/>
      <c r="T414" s="2291"/>
      <c r="U414" s="2289"/>
      <c r="V414" s="2289"/>
      <c r="W414" s="2289"/>
      <c r="X414" s="2292"/>
      <c r="Y414" s="2292"/>
      <c r="Z414" s="2289"/>
      <c r="AA414" s="2289"/>
      <c r="AB414" s="2289"/>
      <c r="AC414" s="2289"/>
      <c r="AD414" s="2293"/>
      <c r="AE414" s="2293"/>
      <c r="AF414" s="2293"/>
      <c r="AG414" s="2293"/>
      <c r="AH414" s="2289"/>
      <c r="AI414" s="2289"/>
      <c r="AJ414" s="2294"/>
      <c r="AK414" s="2294"/>
      <c r="AL414" s="2289"/>
      <c r="AM414" s="2289"/>
      <c r="AN414" s="2289"/>
      <c r="AO414" s="2289"/>
      <c r="AP414" s="2289"/>
      <c r="AQ414" s="2289"/>
      <c r="AR414" s="2294"/>
      <c r="AS414" s="2294"/>
      <c r="AT414" s="2295"/>
      <c r="AU414" s="2295"/>
      <c r="AV414" s="2295"/>
      <c r="AW414" s="2295"/>
      <c r="AX414" s="2296"/>
      <c r="AY414" s="2289"/>
      <c r="AZ414" s="2289"/>
      <c r="BA414" s="2289"/>
      <c r="BB414" s="2289"/>
      <c r="BC414" s="2289"/>
      <c r="BD414" s="2289"/>
      <c r="BE414" s="2289"/>
      <c r="BF414" s="2289"/>
      <c r="BG414" s="2289"/>
      <c r="BH414" s="2289"/>
      <c r="BI414" s="2289"/>
      <c r="BJ414" s="2289"/>
      <c r="BK414" s="2289"/>
      <c r="BL414" s="2289"/>
      <c r="BM414" s="2289"/>
      <c r="BN414" s="2289"/>
      <c r="BO414" s="2289"/>
      <c r="BP414" s="2289"/>
      <c r="BQ414" s="2289"/>
      <c r="BR414" s="2289"/>
    </row>
    <row r="415" spans="1:70" ht="15.75" customHeight="1">
      <c r="A415" s="2289"/>
      <c r="B415" s="2289"/>
      <c r="C415" s="2289"/>
      <c r="D415" s="2289"/>
      <c r="E415" s="2289"/>
      <c r="F415" s="2289"/>
      <c r="G415" s="2290"/>
      <c r="H415" s="2289"/>
      <c r="I415" s="2289"/>
      <c r="J415" s="2290"/>
      <c r="K415" s="2289"/>
      <c r="L415" s="2289"/>
      <c r="M415" s="2290"/>
      <c r="N415" s="2290"/>
      <c r="O415" s="2290"/>
      <c r="P415" s="2290"/>
      <c r="Q415" s="2289"/>
      <c r="R415" s="2289"/>
      <c r="S415" s="2289"/>
      <c r="T415" s="2291"/>
      <c r="U415" s="2289"/>
      <c r="V415" s="2289"/>
      <c r="W415" s="2289"/>
      <c r="X415" s="2292"/>
      <c r="Y415" s="2292"/>
      <c r="Z415" s="2289"/>
      <c r="AA415" s="2289"/>
      <c r="AB415" s="2289"/>
      <c r="AC415" s="2289"/>
      <c r="AD415" s="2293"/>
      <c r="AE415" s="2293"/>
      <c r="AF415" s="2293"/>
      <c r="AG415" s="2293"/>
      <c r="AH415" s="2289"/>
      <c r="AI415" s="2289"/>
      <c r="AJ415" s="2294"/>
      <c r="AK415" s="2294"/>
      <c r="AL415" s="2289"/>
      <c r="AM415" s="2289"/>
      <c r="AN415" s="2289"/>
      <c r="AO415" s="2289"/>
      <c r="AP415" s="2289"/>
      <c r="AQ415" s="2289"/>
      <c r="AR415" s="2294"/>
      <c r="AS415" s="2294"/>
      <c r="AT415" s="2295"/>
      <c r="AU415" s="2295"/>
      <c r="AV415" s="2295"/>
      <c r="AW415" s="2295"/>
      <c r="AX415" s="2296"/>
      <c r="AY415" s="2289"/>
      <c r="AZ415" s="2289"/>
      <c r="BA415" s="2289"/>
      <c r="BB415" s="2289"/>
      <c r="BC415" s="2289"/>
      <c r="BD415" s="2289"/>
      <c r="BE415" s="2289"/>
      <c r="BF415" s="2289"/>
      <c r="BG415" s="2289"/>
      <c r="BH415" s="2289"/>
      <c r="BI415" s="2289"/>
      <c r="BJ415" s="2289"/>
      <c r="BK415" s="2289"/>
      <c r="BL415" s="2289"/>
      <c r="BM415" s="2289"/>
      <c r="BN415" s="2289"/>
      <c r="BO415" s="2289"/>
      <c r="BP415" s="2289"/>
      <c r="BQ415" s="2289"/>
      <c r="BR415" s="2289"/>
    </row>
    <row r="416" spans="1:70" ht="15.75" customHeight="1">
      <c r="A416" s="2289"/>
      <c r="B416" s="2289"/>
      <c r="C416" s="2289"/>
      <c r="D416" s="2289"/>
      <c r="E416" s="2289"/>
      <c r="F416" s="2289"/>
      <c r="G416" s="2290"/>
      <c r="H416" s="2289"/>
      <c r="I416" s="2289"/>
      <c r="J416" s="2290"/>
      <c r="K416" s="2289"/>
      <c r="L416" s="2289"/>
      <c r="M416" s="2290"/>
      <c r="N416" s="2290"/>
      <c r="O416" s="2290"/>
      <c r="P416" s="2290"/>
      <c r="Q416" s="2289"/>
      <c r="R416" s="2289"/>
      <c r="S416" s="2289"/>
      <c r="T416" s="2291"/>
      <c r="U416" s="2289"/>
      <c r="V416" s="2289"/>
      <c r="W416" s="2289"/>
      <c r="X416" s="2292"/>
      <c r="Y416" s="2292"/>
      <c r="Z416" s="2289"/>
      <c r="AA416" s="2289"/>
      <c r="AB416" s="2289"/>
      <c r="AC416" s="2289"/>
      <c r="AD416" s="2293"/>
      <c r="AE416" s="2293"/>
      <c r="AF416" s="2293"/>
      <c r="AG416" s="2293"/>
      <c r="AH416" s="2289"/>
      <c r="AI416" s="2289"/>
      <c r="AJ416" s="2294"/>
      <c r="AK416" s="2294"/>
      <c r="AL416" s="2289"/>
      <c r="AM416" s="2289"/>
      <c r="AN416" s="2289"/>
      <c r="AO416" s="2289"/>
      <c r="AP416" s="2289"/>
      <c r="AQ416" s="2289"/>
      <c r="AR416" s="2294"/>
      <c r="AS416" s="2294"/>
      <c r="AT416" s="2295"/>
      <c r="AU416" s="2295"/>
      <c r="AV416" s="2295"/>
      <c r="AW416" s="2295"/>
      <c r="AX416" s="2296"/>
      <c r="AY416" s="2289"/>
      <c r="AZ416" s="2289"/>
      <c r="BA416" s="2289"/>
      <c r="BB416" s="2289"/>
      <c r="BC416" s="2289"/>
      <c r="BD416" s="2289"/>
      <c r="BE416" s="2289"/>
      <c r="BF416" s="2289"/>
      <c r="BG416" s="2289"/>
      <c r="BH416" s="2289"/>
      <c r="BI416" s="2289"/>
      <c r="BJ416" s="2289"/>
      <c r="BK416" s="2289"/>
      <c r="BL416" s="2289"/>
      <c r="BM416" s="2289"/>
      <c r="BN416" s="2289"/>
      <c r="BO416" s="2289"/>
      <c r="BP416" s="2289"/>
      <c r="BQ416" s="2289"/>
      <c r="BR416" s="2289"/>
    </row>
    <row r="417" spans="1:70" ht="15.75" customHeight="1">
      <c r="A417" s="2289"/>
      <c r="B417" s="2289"/>
      <c r="C417" s="2289"/>
      <c r="D417" s="2289"/>
      <c r="E417" s="2289"/>
      <c r="F417" s="2289"/>
      <c r="G417" s="2290"/>
      <c r="H417" s="2289"/>
      <c r="I417" s="2289"/>
      <c r="J417" s="2290"/>
      <c r="K417" s="2289"/>
      <c r="L417" s="2289"/>
      <c r="M417" s="2290"/>
      <c r="N417" s="2290"/>
      <c r="O417" s="2290"/>
      <c r="P417" s="2290"/>
      <c r="Q417" s="2289"/>
      <c r="R417" s="2289"/>
      <c r="S417" s="2289"/>
      <c r="T417" s="2291"/>
      <c r="U417" s="2289"/>
      <c r="V417" s="2289"/>
      <c r="W417" s="2289"/>
      <c r="X417" s="2292"/>
      <c r="Y417" s="2292"/>
      <c r="Z417" s="2289"/>
      <c r="AA417" s="2289"/>
      <c r="AB417" s="2289"/>
      <c r="AC417" s="2289"/>
      <c r="AD417" s="2293"/>
      <c r="AE417" s="2293"/>
      <c r="AF417" s="2293"/>
      <c r="AG417" s="2293"/>
      <c r="AH417" s="2289"/>
      <c r="AI417" s="2289"/>
      <c r="AJ417" s="2294"/>
      <c r="AK417" s="2294"/>
      <c r="AL417" s="2289"/>
      <c r="AM417" s="2289"/>
      <c r="AN417" s="2289"/>
      <c r="AO417" s="2289"/>
      <c r="AP417" s="2289"/>
      <c r="AQ417" s="2289"/>
      <c r="AR417" s="2294"/>
      <c r="AS417" s="2294"/>
      <c r="AT417" s="2295"/>
      <c r="AU417" s="2295"/>
      <c r="AV417" s="2295"/>
      <c r="AW417" s="2295"/>
      <c r="AX417" s="2296"/>
      <c r="AY417" s="2289"/>
      <c r="AZ417" s="2289"/>
      <c r="BA417" s="2289"/>
      <c r="BB417" s="2289"/>
      <c r="BC417" s="2289"/>
      <c r="BD417" s="2289"/>
      <c r="BE417" s="2289"/>
      <c r="BF417" s="2289"/>
      <c r="BG417" s="2289"/>
      <c r="BH417" s="2289"/>
      <c r="BI417" s="2289"/>
      <c r="BJ417" s="2289"/>
      <c r="BK417" s="2289"/>
      <c r="BL417" s="2289"/>
      <c r="BM417" s="2289"/>
      <c r="BN417" s="2289"/>
      <c r="BO417" s="2289"/>
      <c r="BP417" s="2289"/>
      <c r="BQ417" s="2289"/>
      <c r="BR417" s="2289"/>
    </row>
    <row r="418" spans="1:70" ht="15.75" customHeight="1">
      <c r="A418" s="2289"/>
      <c r="B418" s="2289"/>
      <c r="C418" s="2289"/>
      <c r="D418" s="2289"/>
      <c r="E418" s="2289"/>
      <c r="F418" s="2289"/>
      <c r="G418" s="2290"/>
      <c r="H418" s="2289"/>
      <c r="I418" s="2289"/>
      <c r="J418" s="2290"/>
      <c r="K418" s="2289"/>
      <c r="L418" s="2289"/>
      <c r="M418" s="2290"/>
      <c r="N418" s="2290"/>
      <c r="O418" s="2290"/>
      <c r="P418" s="2290"/>
      <c r="Q418" s="2289"/>
      <c r="R418" s="2289"/>
      <c r="S418" s="2289"/>
      <c r="T418" s="2291"/>
      <c r="U418" s="2289"/>
      <c r="V418" s="2289"/>
      <c r="W418" s="2289"/>
      <c r="X418" s="2292"/>
      <c r="Y418" s="2292"/>
      <c r="Z418" s="2289"/>
      <c r="AA418" s="2289"/>
      <c r="AB418" s="2289"/>
      <c r="AC418" s="2289"/>
      <c r="AD418" s="2293"/>
      <c r="AE418" s="2293"/>
      <c r="AF418" s="2293"/>
      <c r="AG418" s="2293"/>
      <c r="AH418" s="2289"/>
      <c r="AI418" s="2289"/>
      <c r="AJ418" s="2294"/>
      <c r="AK418" s="2294"/>
      <c r="AL418" s="2289"/>
      <c r="AM418" s="2289"/>
      <c r="AN418" s="2289"/>
      <c r="AO418" s="2289"/>
      <c r="AP418" s="2289"/>
      <c r="AQ418" s="2289"/>
      <c r="AR418" s="2294"/>
      <c r="AS418" s="2294"/>
      <c r="AT418" s="2295"/>
      <c r="AU418" s="2295"/>
      <c r="AV418" s="2295"/>
      <c r="AW418" s="2295"/>
      <c r="AX418" s="2296"/>
      <c r="AY418" s="2289"/>
      <c r="AZ418" s="2289"/>
      <c r="BA418" s="2289"/>
      <c r="BB418" s="2289"/>
      <c r="BC418" s="2289"/>
      <c r="BD418" s="2289"/>
      <c r="BE418" s="2289"/>
      <c r="BF418" s="2289"/>
      <c r="BG418" s="2289"/>
      <c r="BH418" s="2289"/>
      <c r="BI418" s="2289"/>
      <c r="BJ418" s="2289"/>
      <c r="BK418" s="2289"/>
      <c r="BL418" s="2289"/>
      <c r="BM418" s="2289"/>
      <c r="BN418" s="2289"/>
      <c r="BO418" s="2289"/>
      <c r="BP418" s="2289"/>
      <c r="BQ418" s="2289"/>
      <c r="BR418" s="2289"/>
    </row>
    <row r="419" spans="1:70" ht="15.75" customHeight="1">
      <c r="A419" s="2289"/>
      <c r="B419" s="2289"/>
      <c r="C419" s="2289"/>
      <c r="D419" s="2289"/>
      <c r="E419" s="2289"/>
      <c r="F419" s="2289"/>
      <c r="G419" s="2290"/>
      <c r="H419" s="2289"/>
      <c r="I419" s="2289"/>
      <c r="J419" s="2290"/>
      <c r="K419" s="2289"/>
      <c r="L419" s="2289"/>
      <c r="M419" s="2290"/>
      <c r="N419" s="2290"/>
      <c r="O419" s="2290"/>
      <c r="P419" s="2290"/>
      <c r="Q419" s="2289"/>
      <c r="R419" s="2289"/>
      <c r="S419" s="2289"/>
      <c r="T419" s="2291"/>
      <c r="U419" s="2289"/>
      <c r="V419" s="2289"/>
      <c r="W419" s="2289"/>
      <c r="X419" s="2292"/>
      <c r="Y419" s="2292"/>
      <c r="Z419" s="2289"/>
      <c r="AA419" s="2289"/>
      <c r="AB419" s="2289"/>
      <c r="AC419" s="2289"/>
      <c r="AD419" s="2293"/>
      <c r="AE419" s="2293"/>
      <c r="AF419" s="2293"/>
      <c r="AG419" s="2293"/>
      <c r="AH419" s="2289"/>
      <c r="AI419" s="2289"/>
      <c r="AJ419" s="2294"/>
      <c r="AK419" s="2294"/>
      <c r="AL419" s="2289"/>
      <c r="AM419" s="2289"/>
      <c r="AN419" s="2289"/>
      <c r="AO419" s="2289"/>
      <c r="AP419" s="2289"/>
      <c r="AQ419" s="2289"/>
      <c r="AR419" s="2294"/>
      <c r="AS419" s="2294"/>
      <c r="AT419" s="2295"/>
      <c r="AU419" s="2295"/>
      <c r="AV419" s="2295"/>
      <c r="AW419" s="2295"/>
      <c r="AX419" s="2296"/>
      <c r="AY419" s="2289"/>
      <c r="AZ419" s="2289"/>
      <c r="BA419" s="2289"/>
      <c r="BB419" s="2289"/>
      <c r="BC419" s="2289"/>
      <c r="BD419" s="2289"/>
      <c r="BE419" s="2289"/>
      <c r="BF419" s="2289"/>
      <c r="BG419" s="2289"/>
      <c r="BH419" s="2289"/>
      <c r="BI419" s="2289"/>
      <c r="BJ419" s="2289"/>
      <c r="BK419" s="2289"/>
      <c r="BL419" s="2289"/>
      <c r="BM419" s="2289"/>
      <c r="BN419" s="2289"/>
      <c r="BO419" s="2289"/>
      <c r="BP419" s="2289"/>
      <c r="BQ419" s="2289"/>
      <c r="BR419" s="2289"/>
    </row>
    <row r="420" spans="1:70" ht="15.75" customHeight="1">
      <c r="A420" s="2289"/>
      <c r="B420" s="2289"/>
      <c r="C420" s="2289"/>
      <c r="D420" s="2289"/>
      <c r="E420" s="2289"/>
      <c r="F420" s="2289"/>
      <c r="G420" s="2290"/>
      <c r="H420" s="2289"/>
      <c r="I420" s="2289"/>
      <c r="J420" s="2290"/>
      <c r="K420" s="2289"/>
      <c r="L420" s="2289"/>
      <c r="M420" s="2290"/>
      <c r="N420" s="2290"/>
      <c r="O420" s="2290"/>
      <c r="P420" s="2290"/>
      <c r="Q420" s="2289"/>
      <c r="R420" s="2289"/>
      <c r="S420" s="2289"/>
      <c r="T420" s="2291"/>
      <c r="U420" s="2289"/>
      <c r="V420" s="2289"/>
      <c r="W420" s="2289"/>
      <c r="X420" s="2292"/>
      <c r="Y420" s="2292"/>
      <c r="Z420" s="2289"/>
      <c r="AA420" s="2289"/>
      <c r="AB420" s="2289"/>
      <c r="AC420" s="2289"/>
      <c r="AD420" s="2293"/>
      <c r="AE420" s="2293"/>
      <c r="AF420" s="2293"/>
      <c r="AG420" s="2293"/>
      <c r="AH420" s="2289"/>
      <c r="AI420" s="2289"/>
      <c r="AJ420" s="2294"/>
      <c r="AK420" s="2294"/>
      <c r="AL420" s="2289"/>
      <c r="AM420" s="2289"/>
      <c r="AN420" s="2289"/>
      <c r="AO420" s="2289"/>
      <c r="AP420" s="2289"/>
      <c r="AQ420" s="2289"/>
      <c r="AR420" s="2294"/>
      <c r="AS420" s="2294"/>
      <c r="AT420" s="2295"/>
      <c r="AU420" s="2295"/>
      <c r="AV420" s="2295"/>
      <c r="AW420" s="2295"/>
      <c r="AX420" s="2296"/>
      <c r="AY420" s="2289"/>
      <c r="AZ420" s="2289"/>
      <c r="BA420" s="2289"/>
      <c r="BB420" s="2289"/>
      <c r="BC420" s="2289"/>
      <c r="BD420" s="2289"/>
      <c r="BE420" s="2289"/>
      <c r="BF420" s="2289"/>
      <c r="BG420" s="2289"/>
      <c r="BH420" s="2289"/>
      <c r="BI420" s="2289"/>
      <c r="BJ420" s="2289"/>
      <c r="BK420" s="2289"/>
      <c r="BL420" s="2289"/>
      <c r="BM420" s="2289"/>
      <c r="BN420" s="2289"/>
      <c r="BO420" s="2289"/>
      <c r="BP420" s="2289"/>
      <c r="BQ420" s="2289"/>
      <c r="BR420" s="2289"/>
    </row>
    <row r="421" spans="1:70" ht="15.75" customHeight="1">
      <c r="A421" s="2289"/>
      <c r="B421" s="2289"/>
      <c r="C421" s="2289"/>
      <c r="D421" s="2289"/>
      <c r="E421" s="2289"/>
      <c r="F421" s="2289"/>
      <c r="G421" s="2290"/>
      <c r="H421" s="2289"/>
      <c r="I421" s="2289"/>
      <c r="J421" s="2290"/>
      <c r="K421" s="2289"/>
      <c r="L421" s="2289"/>
      <c r="M421" s="2290"/>
      <c r="N421" s="2290"/>
      <c r="O421" s="2290"/>
      <c r="P421" s="2290"/>
      <c r="Q421" s="2289"/>
      <c r="R421" s="2289"/>
      <c r="S421" s="2289"/>
      <c r="T421" s="2291"/>
      <c r="U421" s="2289"/>
      <c r="V421" s="2289"/>
      <c r="W421" s="2289"/>
      <c r="X421" s="2292"/>
      <c r="Y421" s="2292"/>
      <c r="Z421" s="2289"/>
      <c r="AA421" s="2289"/>
      <c r="AB421" s="2289"/>
      <c r="AC421" s="2289"/>
      <c r="AD421" s="2293"/>
      <c r="AE421" s="2293"/>
      <c r="AF421" s="2293"/>
      <c r="AG421" s="2293"/>
      <c r="AH421" s="2289"/>
      <c r="AI421" s="2289"/>
      <c r="AJ421" s="2294"/>
      <c r="AK421" s="2294"/>
      <c r="AL421" s="2289"/>
      <c r="AM421" s="2289"/>
      <c r="AN421" s="2289"/>
      <c r="AO421" s="2289"/>
      <c r="AP421" s="2289"/>
      <c r="AQ421" s="2289"/>
      <c r="AR421" s="2294"/>
      <c r="AS421" s="2294"/>
      <c r="AT421" s="2295"/>
      <c r="AU421" s="2295"/>
      <c r="AV421" s="2295"/>
      <c r="AW421" s="2295"/>
      <c r="AX421" s="2296"/>
      <c r="AY421" s="2289"/>
      <c r="AZ421" s="2289"/>
      <c r="BA421" s="2289"/>
      <c r="BB421" s="2289"/>
      <c r="BC421" s="2289"/>
      <c r="BD421" s="2289"/>
      <c r="BE421" s="2289"/>
      <c r="BF421" s="2289"/>
      <c r="BG421" s="2289"/>
      <c r="BH421" s="2289"/>
      <c r="BI421" s="2289"/>
      <c r="BJ421" s="2289"/>
      <c r="BK421" s="2289"/>
      <c r="BL421" s="2289"/>
      <c r="BM421" s="2289"/>
      <c r="BN421" s="2289"/>
      <c r="BO421" s="2289"/>
      <c r="BP421" s="2289"/>
      <c r="BQ421" s="2289"/>
      <c r="BR421" s="2289"/>
    </row>
    <row r="422" spans="1:70" ht="15.75" customHeight="1">
      <c r="A422" s="2289"/>
      <c r="B422" s="2289"/>
      <c r="C422" s="2289"/>
      <c r="D422" s="2289"/>
      <c r="E422" s="2289"/>
      <c r="F422" s="2289"/>
      <c r="G422" s="2290"/>
      <c r="H422" s="2289"/>
      <c r="I422" s="2289"/>
      <c r="J422" s="2290"/>
      <c r="K422" s="2289"/>
      <c r="L422" s="2289"/>
      <c r="M422" s="2290"/>
      <c r="N422" s="2290"/>
      <c r="O422" s="2290"/>
      <c r="P422" s="2290"/>
      <c r="Q422" s="2289"/>
      <c r="R422" s="2289"/>
      <c r="S422" s="2289"/>
      <c r="T422" s="2291"/>
      <c r="U422" s="2289"/>
      <c r="V422" s="2289"/>
      <c r="W422" s="2289"/>
      <c r="X422" s="2292"/>
      <c r="Y422" s="2292"/>
      <c r="Z422" s="2289"/>
      <c r="AA422" s="2289"/>
      <c r="AB422" s="2289"/>
      <c r="AC422" s="2289"/>
      <c r="AD422" s="2293"/>
      <c r="AE422" s="2293"/>
      <c r="AF422" s="2293"/>
      <c r="AG422" s="2293"/>
      <c r="AH422" s="2289"/>
      <c r="AI422" s="2289"/>
      <c r="AJ422" s="2294"/>
      <c r="AK422" s="2294"/>
      <c r="AL422" s="2289"/>
      <c r="AM422" s="2289"/>
      <c r="AN422" s="2289"/>
      <c r="AO422" s="2289"/>
      <c r="AP422" s="2289"/>
      <c r="AQ422" s="2289"/>
      <c r="AR422" s="2294"/>
      <c r="AS422" s="2294"/>
      <c r="AT422" s="2295"/>
      <c r="AU422" s="2295"/>
      <c r="AV422" s="2295"/>
      <c r="AW422" s="2295"/>
      <c r="AX422" s="2296"/>
      <c r="AY422" s="2289"/>
      <c r="AZ422" s="2289"/>
      <c r="BA422" s="2289"/>
      <c r="BB422" s="2289"/>
      <c r="BC422" s="2289"/>
      <c r="BD422" s="2289"/>
      <c r="BE422" s="2289"/>
      <c r="BF422" s="2289"/>
      <c r="BG422" s="2289"/>
      <c r="BH422" s="2289"/>
      <c r="BI422" s="2289"/>
      <c r="BJ422" s="2289"/>
      <c r="BK422" s="2289"/>
      <c r="BL422" s="2289"/>
      <c r="BM422" s="2289"/>
      <c r="BN422" s="2289"/>
      <c r="BO422" s="2289"/>
      <c r="BP422" s="2289"/>
      <c r="BQ422" s="2289"/>
      <c r="BR422" s="2289"/>
    </row>
    <row r="423" spans="1:70" ht="15.75" customHeight="1">
      <c r="A423" s="2289"/>
      <c r="B423" s="2289"/>
      <c r="C423" s="2289"/>
      <c r="D423" s="2289"/>
      <c r="E423" s="2289"/>
      <c r="F423" s="2289"/>
      <c r="G423" s="2290"/>
      <c r="H423" s="2289"/>
      <c r="I423" s="2289"/>
      <c r="J423" s="2290"/>
      <c r="K423" s="2289"/>
      <c r="L423" s="2289"/>
      <c r="M423" s="2290"/>
      <c r="N423" s="2290"/>
      <c r="O423" s="2290"/>
      <c r="P423" s="2290"/>
      <c r="Q423" s="2289"/>
      <c r="R423" s="2289"/>
      <c r="S423" s="2289"/>
      <c r="T423" s="2291"/>
      <c r="U423" s="2289"/>
      <c r="V423" s="2289"/>
      <c r="W423" s="2289"/>
      <c r="X423" s="2292"/>
      <c r="Y423" s="2292"/>
      <c r="Z423" s="2289"/>
      <c r="AA423" s="2289"/>
      <c r="AB423" s="2289"/>
      <c r="AC423" s="2289"/>
      <c r="AD423" s="2293"/>
      <c r="AE423" s="2293"/>
      <c r="AF423" s="2293"/>
      <c r="AG423" s="2293"/>
      <c r="AH423" s="2289"/>
      <c r="AI423" s="2289"/>
      <c r="AJ423" s="2294"/>
      <c r="AK423" s="2294"/>
      <c r="AL423" s="2289"/>
      <c r="AM423" s="2289"/>
      <c r="AN423" s="2289"/>
      <c r="AO423" s="2289"/>
      <c r="AP423" s="2289"/>
      <c r="AQ423" s="2289"/>
      <c r="AR423" s="2294"/>
      <c r="AS423" s="2294"/>
      <c r="AT423" s="2295"/>
      <c r="AU423" s="2295"/>
      <c r="AV423" s="2295"/>
      <c r="AW423" s="2295"/>
      <c r="AX423" s="2296"/>
      <c r="AY423" s="2289"/>
      <c r="AZ423" s="2289"/>
      <c r="BA423" s="2289"/>
      <c r="BB423" s="2289"/>
      <c r="BC423" s="2289"/>
      <c r="BD423" s="2289"/>
      <c r="BE423" s="2289"/>
      <c r="BF423" s="2289"/>
      <c r="BG423" s="2289"/>
      <c r="BH423" s="2289"/>
      <c r="BI423" s="2289"/>
      <c r="BJ423" s="2289"/>
      <c r="BK423" s="2289"/>
      <c r="BL423" s="2289"/>
      <c r="BM423" s="2289"/>
      <c r="BN423" s="2289"/>
      <c r="BO423" s="2289"/>
      <c r="BP423" s="2289"/>
      <c r="BQ423" s="2289"/>
      <c r="BR423" s="2289"/>
    </row>
    <row r="424" spans="1:70" ht="15.75" customHeight="1">
      <c r="A424" s="2289"/>
      <c r="B424" s="2289"/>
      <c r="C424" s="2289"/>
      <c r="D424" s="2289"/>
      <c r="E424" s="2289"/>
      <c r="F424" s="2289"/>
      <c r="G424" s="2290"/>
      <c r="H424" s="2289"/>
      <c r="I424" s="2289"/>
      <c r="J424" s="2290"/>
      <c r="K424" s="2289"/>
      <c r="L424" s="2289"/>
      <c r="M424" s="2290"/>
      <c r="N424" s="2290"/>
      <c r="O424" s="2290"/>
      <c r="P424" s="2290"/>
      <c r="Q424" s="2289"/>
      <c r="R424" s="2289"/>
      <c r="S424" s="2289"/>
      <c r="T424" s="2291"/>
      <c r="U424" s="2289"/>
      <c r="V424" s="2289"/>
      <c r="W424" s="2289"/>
      <c r="X424" s="2292"/>
      <c r="Y424" s="2292"/>
      <c r="Z424" s="2289"/>
      <c r="AA424" s="2289"/>
      <c r="AB424" s="2289"/>
      <c r="AC424" s="2289"/>
      <c r="AD424" s="2293"/>
      <c r="AE424" s="2293"/>
      <c r="AF424" s="2293"/>
      <c r="AG424" s="2293"/>
      <c r="AH424" s="2289"/>
      <c r="AI424" s="2289"/>
      <c r="AJ424" s="2294"/>
      <c r="AK424" s="2294"/>
      <c r="AL424" s="2289"/>
      <c r="AM424" s="2289"/>
      <c r="AN424" s="2289"/>
      <c r="AO424" s="2289"/>
      <c r="AP424" s="2289"/>
      <c r="AQ424" s="2289"/>
      <c r="AR424" s="2294"/>
      <c r="AS424" s="2294"/>
      <c r="AT424" s="2295"/>
      <c r="AU424" s="2295"/>
      <c r="AV424" s="2295"/>
      <c r="AW424" s="2295"/>
      <c r="AX424" s="2296"/>
      <c r="AY424" s="2289"/>
      <c r="AZ424" s="2289"/>
      <c r="BA424" s="2289"/>
      <c r="BB424" s="2289"/>
      <c r="BC424" s="2289"/>
      <c r="BD424" s="2289"/>
      <c r="BE424" s="2289"/>
      <c r="BF424" s="2289"/>
      <c r="BG424" s="2289"/>
      <c r="BH424" s="2289"/>
      <c r="BI424" s="2289"/>
      <c r="BJ424" s="2289"/>
      <c r="BK424" s="2289"/>
      <c r="BL424" s="2289"/>
      <c r="BM424" s="2289"/>
      <c r="BN424" s="2289"/>
      <c r="BO424" s="2289"/>
      <c r="BP424" s="2289"/>
      <c r="BQ424" s="2289"/>
      <c r="BR424" s="2289"/>
    </row>
    <row r="425" spans="1:70" ht="15.75" customHeight="1">
      <c r="A425" s="2289"/>
      <c r="B425" s="2289"/>
      <c r="C425" s="2289"/>
      <c r="D425" s="2289"/>
      <c r="E425" s="2289"/>
      <c r="F425" s="2289"/>
      <c r="G425" s="2290"/>
      <c r="H425" s="2289"/>
      <c r="I425" s="2289"/>
      <c r="J425" s="2290"/>
      <c r="K425" s="2289"/>
      <c r="L425" s="2289"/>
      <c r="M425" s="2290"/>
      <c r="N425" s="2290"/>
      <c r="O425" s="2290"/>
      <c r="P425" s="2290"/>
      <c r="Q425" s="2289"/>
      <c r="R425" s="2289"/>
      <c r="S425" s="2289"/>
      <c r="T425" s="2291"/>
      <c r="U425" s="2289"/>
      <c r="V425" s="2289"/>
      <c r="W425" s="2289"/>
      <c r="X425" s="2292"/>
      <c r="Y425" s="2292"/>
      <c r="Z425" s="2289"/>
      <c r="AA425" s="2289"/>
      <c r="AB425" s="2289"/>
      <c r="AC425" s="2289"/>
      <c r="AD425" s="2293"/>
      <c r="AE425" s="2293"/>
      <c r="AF425" s="2293"/>
      <c r="AG425" s="2293"/>
      <c r="AH425" s="2289"/>
      <c r="AI425" s="2289"/>
      <c r="AJ425" s="2294"/>
      <c r="AK425" s="2294"/>
      <c r="AL425" s="2289"/>
      <c r="AM425" s="2289"/>
      <c r="AN425" s="2289"/>
      <c r="AO425" s="2289"/>
      <c r="AP425" s="2289"/>
      <c r="AQ425" s="2289"/>
      <c r="AR425" s="2294"/>
      <c r="AS425" s="2294"/>
      <c r="AT425" s="2295"/>
      <c r="AU425" s="2295"/>
      <c r="AV425" s="2295"/>
      <c r="AW425" s="2295"/>
      <c r="AX425" s="2296"/>
      <c r="AY425" s="2289"/>
      <c r="AZ425" s="2289"/>
      <c r="BA425" s="2289"/>
      <c r="BB425" s="2289"/>
      <c r="BC425" s="2289"/>
      <c r="BD425" s="2289"/>
      <c r="BE425" s="2289"/>
      <c r="BF425" s="2289"/>
      <c r="BG425" s="2289"/>
      <c r="BH425" s="2289"/>
      <c r="BI425" s="2289"/>
      <c r="BJ425" s="2289"/>
      <c r="BK425" s="2289"/>
      <c r="BL425" s="2289"/>
      <c r="BM425" s="2289"/>
      <c r="BN425" s="2289"/>
      <c r="BO425" s="2289"/>
      <c r="BP425" s="2289"/>
      <c r="BQ425" s="2289"/>
      <c r="BR425" s="2289"/>
    </row>
    <row r="426" spans="1:70" ht="15.75" customHeight="1">
      <c r="A426" s="2289"/>
      <c r="B426" s="2289"/>
      <c r="C426" s="2289"/>
      <c r="D426" s="2289"/>
      <c r="E426" s="2289"/>
      <c r="F426" s="2289"/>
      <c r="G426" s="2290"/>
      <c r="H426" s="2289"/>
      <c r="I426" s="2289"/>
      <c r="J426" s="2290"/>
      <c r="K426" s="2289"/>
      <c r="L426" s="2289"/>
      <c r="M426" s="2290"/>
      <c r="N426" s="2290"/>
      <c r="O426" s="2290"/>
      <c r="P426" s="2290"/>
      <c r="Q426" s="2289"/>
      <c r="R426" s="2289"/>
      <c r="S426" s="2289"/>
      <c r="T426" s="2291"/>
      <c r="U426" s="2289"/>
      <c r="V426" s="2289"/>
      <c r="W426" s="2289"/>
      <c r="X426" s="2292"/>
      <c r="Y426" s="2292"/>
      <c r="Z426" s="2289"/>
      <c r="AA426" s="2289"/>
      <c r="AB426" s="2289"/>
      <c r="AC426" s="2289"/>
      <c r="AD426" s="2293"/>
      <c r="AE426" s="2293"/>
      <c r="AF426" s="2293"/>
      <c r="AG426" s="2293"/>
      <c r="AH426" s="2289"/>
      <c r="AI426" s="2289"/>
      <c r="AJ426" s="2294"/>
      <c r="AK426" s="2294"/>
      <c r="AL426" s="2289"/>
      <c r="AM426" s="2289"/>
      <c r="AN426" s="2289"/>
      <c r="AO426" s="2289"/>
      <c r="AP426" s="2289"/>
      <c r="AQ426" s="2289"/>
      <c r="AR426" s="2294"/>
      <c r="AS426" s="2294"/>
      <c r="AT426" s="2295"/>
      <c r="AU426" s="2295"/>
      <c r="AV426" s="2295"/>
      <c r="AW426" s="2295"/>
      <c r="AX426" s="2296"/>
      <c r="AY426" s="2289"/>
      <c r="AZ426" s="2289"/>
      <c r="BA426" s="2289"/>
      <c r="BB426" s="2289"/>
      <c r="BC426" s="2289"/>
      <c r="BD426" s="2289"/>
      <c r="BE426" s="2289"/>
      <c r="BF426" s="2289"/>
      <c r="BG426" s="2289"/>
      <c r="BH426" s="2289"/>
      <c r="BI426" s="2289"/>
      <c r="BJ426" s="2289"/>
      <c r="BK426" s="2289"/>
      <c r="BL426" s="2289"/>
      <c r="BM426" s="2289"/>
      <c r="BN426" s="2289"/>
      <c r="BO426" s="2289"/>
      <c r="BP426" s="2289"/>
      <c r="BQ426" s="2289"/>
      <c r="BR426" s="2289"/>
    </row>
    <row r="427" spans="1:70" ht="15.75" customHeight="1">
      <c r="A427" s="2289"/>
      <c r="B427" s="2289"/>
      <c r="C427" s="2289"/>
      <c r="D427" s="2289"/>
      <c r="E427" s="2289"/>
      <c r="F427" s="2289"/>
      <c r="G427" s="2290"/>
      <c r="H427" s="2289"/>
      <c r="I427" s="2289"/>
      <c r="J427" s="2290"/>
      <c r="K427" s="2289"/>
      <c r="L427" s="2289"/>
      <c r="M427" s="2290"/>
      <c r="N427" s="2290"/>
      <c r="O427" s="2290"/>
      <c r="P427" s="2290"/>
      <c r="Q427" s="2289"/>
      <c r="R427" s="2289"/>
      <c r="S427" s="2289"/>
      <c r="T427" s="2291"/>
      <c r="U427" s="2289"/>
      <c r="V427" s="2289"/>
      <c r="W427" s="2289"/>
      <c r="X427" s="2292"/>
      <c r="Y427" s="2292"/>
      <c r="Z427" s="2289"/>
      <c r="AA427" s="2289"/>
      <c r="AB427" s="2289"/>
      <c r="AC427" s="2289"/>
      <c r="AD427" s="2293"/>
      <c r="AE427" s="2293"/>
      <c r="AF427" s="2293"/>
      <c r="AG427" s="2293"/>
      <c r="AH427" s="2289"/>
      <c r="AI427" s="2289"/>
      <c r="AJ427" s="2294"/>
      <c r="AK427" s="2294"/>
      <c r="AL427" s="2289"/>
      <c r="AM427" s="2289"/>
      <c r="AN427" s="2289"/>
      <c r="AO427" s="2289"/>
      <c r="AP427" s="2289"/>
      <c r="AQ427" s="2289"/>
      <c r="AR427" s="2294"/>
      <c r="AS427" s="2294"/>
      <c r="AT427" s="2295"/>
      <c r="AU427" s="2295"/>
      <c r="AV427" s="2295"/>
      <c r="AW427" s="2295"/>
      <c r="AX427" s="2296"/>
      <c r="AY427" s="2289"/>
      <c r="AZ427" s="2289"/>
      <c r="BA427" s="2289"/>
      <c r="BB427" s="2289"/>
      <c r="BC427" s="2289"/>
      <c r="BD427" s="2289"/>
      <c r="BE427" s="2289"/>
      <c r="BF427" s="2289"/>
      <c r="BG427" s="2289"/>
      <c r="BH427" s="2289"/>
      <c r="BI427" s="2289"/>
      <c r="BJ427" s="2289"/>
      <c r="BK427" s="2289"/>
      <c r="BL427" s="2289"/>
      <c r="BM427" s="2289"/>
      <c r="BN427" s="2289"/>
      <c r="BO427" s="2289"/>
      <c r="BP427" s="2289"/>
      <c r="BQ427" s="2289"/>
      <c r="BR427" s="2289"/>
    </row>
    <row r="428" spans="1:70" ht="15.75" customHeight="1">
      <c r="A428" s="2289"/>
      <c r="B428" s="2289"/>
      <c r="C428" s="2289"/>
      <c r="D428" s="2289"/>
      <c r="E428" s="2289"/>
      <c r="F428" s="2289"/>
      <c r="G428" s="2290"/>
      <c r="H428" s="2289"/>
      <c r="I428" s="2289"/>
      <c r="J428" s="2290"/>
      <c r="K428" s="2289"/>
      <c r="L428" s="2289"/>
      <c r="M428" s="2290"/>
      <c r="N428" s="2290"/>
      <c r="O428" s="2290"/>
      <c r="P428" s="2290"/>
      <c r="Q428" s="2289"/>
      <c r="R428" s="2289"/>
      <c r="S428" s="2289"/>
      <c r="T428" s="2291"/>
      <c r="U428" s="2289"/>
      <c r="V428" s="2289"/>
      <c r="W428" s="2289"/>
      <c r="X428" s="2292"/>
      <c r="Y428" s="2292"/>
      <c r="Z428" s="2289"/>
      <c r="AA428" s="2289"/>
      <c r="AB428" s="2289"/>
      <c r="AC428" s="2289"/>
      <c r="AD428" s="2293"/>
      <c r="AE428" s="2293"/>
      <c r="AF428" s="2293"/>
      <c r="AG428" s="2293"/>
      <c r="AH428" s="2289"/>
      <c r="AI428" s="2289"/>
      <c r="AJ428" s="2294"/>
      <c r="AK428" s="2294"/>
      <c r="AL428" s="2289"/>
      <c r="AM428" s="2289"/>
      <c r="AN428" s="2289"/>
      <c r="AO428" s="2289"/>
      <c r="AP428" s="2289"/>
      <c r="AQ428" s="2289"/>
      <c r="AR428" s="2294"/>
      <c r="AS428" s="2294"/>
      <c r="AT428" s="2295"/>
      <c r="AU428" s="2295"/>
      <c r="AV428" s="2295"/>
      <c r="AW428" s="2295"/>
      <c r="AX428" s="2296"/>
      <c r="AY428" s="2289"/>
      <c r="AZ428" s="2289"/>
      <c r="BA428" s="2289"/>
      <c r="BB428" s="2289"/>
      <c r="BC428" s="2289"/>
      <c r="BD428" s="2289"/>
      <c r="BE428" s="2289"/>
      <c r="BF428" s="2289"/>
      <c r="BG428" s="2289"/>
      <c r="BH428" s="2289"/>
      <c r="BI428" s="2289"/>
      <c r="BJ428" s="2289"/>
      <c r="BK428" s="2289"/>
      <c r="BL428" s="2289"/>
      <c r="BM428" s="2289"/>
      <c r="BN428" s="2289"/>
      <c r="BO428" s="2289"/>
      <c r="BP428" s="2289"/>
      <c r="BQ428" s="2289"/>
      <c r="BR428" s="2289"/>
    </row>
    <row r="429" spans="1:70" ht="15.75" customHeight="1">
      <c r="A429" s="2289"/>
      <c r="B429" s="2289"/>
      <c r="C429" s="2289"/>
      <c r="D429" s="2289"/>
      <c r="E429" s="2289"/>
      <c r="F429" s="2289"/>
      <c r="G429" s="2290"/>
      <c r="H429" s="2289"/>
      <c r="I429" s="2289"/>
      <c r="J429" s="2290"/>
      <c r="K429" s="2289"/>
      <c r="L429" s="2289"/>
      <c r="M429" s="2290"/>
      <c r="N429" s="2290"/>
      <c r="O429" s="2290"/>
      <c r="P429" s="2290"/>
      <c r="Q429" s="2289"/>
      <c r="R429" s="2289"/>
      <c r="S429" s="2289"/>
      <c r="T429" s="2291"/>
      <c r="U429" s="2289"/>
      <c r="V429" s="2289"/>
      <c r="W429" s="2289"/>
      <c r="X429" s="2292"/>
      <c r="Y429" s="2292"/>
      <c r="Z429" s="2289"/>
      <c r="AA429" s="2289"/>
      <c r="AB429" s="2289"/>
      <c r="AC429" s="2289"/>
      <c r="AD429" s="2293"/>
      <c r="AE429" s="2293"/>
      <c r="AF429" s="2293"/>
      <c r="AG429" s="2293"/>
      <c r="AH429" s="2289"/>
      <c r="AI429" s="2289"/>
      <c r="AJ429" s="2294"/>
      <c r="AK429" s="2294"/>
      <c r="AL429" s="2289"/>
      <c r="AM429" s="2289"/>
      <c r="AN429" s="2289"/>
      <c r="AO429" s="2289"/>
      <c r="AP429" s="2289"/>
      <c r="AQ429" s="2289"/>
      <c r="AR429" s="2294"/>
      <c r="AS429" s="2294"/>
      <c r="AT429" s="2295"/>
      <c r="AU429" s="2295"/>
      <c r="AV429" s="2295"/>
      <c r="AW429" s="2295"/>
      <c r="AX429" s="2296"/>
      <c r="AY429" s="2289"/>
      <c r="AZ429" s="2289"/>
      <c r="BA429" s="2289"/>
      <c r="BB429" s="2289"/>
      <c r="BC429" s="2289"/>
      <c r="BD429" s="2289"/>
      <c r="BE429" s="2289"/>
      <c r="BF429" s="2289"/>
      <c r="BG429" s="2289"/>
      <c r="BH429" s="2289"/>
      <c r="BI429" s="2289"/>
      <c r="BJ429" s="2289"/>
      <c r="BK429" s="2289"/>
      <c r="BL429" s="2289"/>
      <c r="BM429" s="2289"/>
      <c r="BN429" s="2289"/>
      <c r="BO429" s="2289"/>
      <c r="BP429" s="2289"/>
      <c r="BQ429" s="2289"/>
      <c r="BR429" s="2289"/>
    </row>
    <row r="430" spans="1:70" ht="15.75" customHeight="1">
      <c r="A430" s="2289"/>
      <c r="B430" s="2289"/>
      <c r="C430" s="2289"/>
      <c r="D430" s="2289"/>
      <c r="E430" s="2289"/>
      <c r="F430" s="2289"/>
      <c r="G430" s="2290"/>
      <c r="H430" s="2289"/>
      <c r="I430" s="2289"/>
      <c r="J430" s="2290"/>
      <c r="K430" s="2289"/>
      <c r="L430" s="2289"/>
      <c r="M430" s="2290"/>
      <c r="N430" s="2290"/>
      <c r="O430" s="2290"/>
      <c r="P430" s="2290"/>
      <c r="Q430" s="2289"/>
      <c r="R430" s="2289"/>
      <c r="S430" s="2289"/>
      <c r="T430" s="2291"/>
      <c r="U430" s="2289"/>
      <c r="V430" s="2289"/>
      <c r="W430" s="2289"/>
      <c r="X430" s="2292"/>
      <c r="Y430" s="2292"/>
      <c r="Z430" s="2289"/>
      <c r="AA430" s="2289"/>
      <c r="AB430" s="2289"/>
      <c r="AC430" s="2289"/>
      <c r="AD430" s="2293"/>
      <c r="AE430" s="2293"/>
      <c r="AF430" s="2293"/>
      <c r="AG430" s="2293"/>
      <c r="AH430" s="2289"/>
      <c r="AI430" s="2289"/>
      <c r="AJ430" s="2294"/>
      <c r="AK430" s="2294"/>
      <c r="AL430" s="2289"/>
      <c r="AM430" s="2289"/>
      <c r="AN430" s="2289"/>
      <c r="AO430" s="2289"/>
      <c r="AP430" s="2289"/>
      <c r="AQ430" s="2289"/>
      <c r="AR430" s="2294"/>
      <c r="AS430" s="2294"/>
      <c r="AT430" s="2295"/>
      <c r="AU430" s="2295"/>
      <c r="AV430" s="2295"/>
      <c r="AW430" s="2295"/>
      <c r="AX430" s="2296"/>
      <c r="AY430" s="2289"/>
      <c r="AZ430" s="2289"/>
      <c r="BA430" s="2289"/>
      <c r="BB430" s="2289"/>
      <c r="BC430" s="2289"/>
      <c r="BD430" s="2289"/>
      <c r="BE430" s="2289"/>
      <c r="BF430" s="2289"/>
      <c r="BG430" s="2289"/>
      <c r="BH430" s="2289"/>
      <c r="BI430" s="2289"/>
      <c r="BJ430" s="2289"/>
      <c r="BK430" s="2289"/>
      <c r="BL430" s="2289"/>
      <c r="BM430" s="2289"/>
      <c r="BN430" s="2289"/>
      <c r="BO430" s="2289"/>
      <c r="BP430" s="2289"/>
      <c r="BQ430" s="2289"/>
      <c r="BR430" s="2289"/>
    </row>
    <row r="431" spans="1:70" ht="15.75" customHeight="1">
      <c r="A431" s="2289"/>
      <c r="B431" s="2289"/>
      <c r="C431" s="2289"/>
      <c r="D431" s="2289"/>
      <c r="E431" s="2289"/>
      <c r="F431" s="2289"/>
      <c r="G431" s="2290"/>
      <c r="H431" s="2289"/>
      <c r="I431" s="2289"/>
      <c r="J431" s="2290"/>
      <c r="K431" s="2289"/>
      <c r="L431" s="2289"/>
      <c r="M431" s="2290"/>
      <c r="N431" s="2290"/>
      <c r="O431" s="2290"/>
      <c r="P431" s="2290"/>
      <c r="Q431" s="2289"/>
      <c r="R431" s="2289"/>
      <c r="S431" s="2289"/>
      <c r="T431" s="2291"/>
      <c r="U431" s="2289"/>
      <c r="V431" s="2289"/>
      <c r="W431" s="2289"/>
      <c r="X431" s="2292"/>
      <c r="Y431" s="2292"/>
      <c r="Z431" s="2289"/>
      <c r="AA431" s="2289"/>
      <c r="AB431" s="2289"/>
      <c r="AC431" s="2289"/>
      <c r="AD431" s="2293"/>
      <c r="AE431" s="2293"/>
      <c r="AF431" s="2293"/>
      <c r="AG431" s="2293"/>
      <c r="AH431" s="2289"/>
      <c r="AI431" s="2289"/>
      <c r="AJ431" s="2294"/>
      <c r="AK431" s="2294"/>
      <c r="AL431" s="2289"/>
      <c r="AM431" s="2289"/>
      <c r="AN431" s="2289"/>
      <c r="AO431" s="2289"/>
      <c r="AP431" s="2289"/>
      <c r="AQ431" s="2289"/>
      <c r="AR431" s="2294"/>
      <c r="AS431" s="2294"/>
      <c r="AT431" s="2295"/>
      <c r="AU431" s="2295"/>
      <c r="AV431" s="2295"/>
      <c r="AW431" s="2295"/>
      <c r="AX431" s="2296"/>
      <c r="AY431" s="2289"/>
      <c r="AZ431" s="2289"/>
      <c r="BA431" s="2289"/>
      <c r="BB431" s="2289"/>
      <c r="BC431" s="2289"/>
      <c r="BD431" s="2289"/>
      <c r="BE431" s="2289"/>
      <c r="BF431" s="2289"/>
      <c r="BG431" s="2289"/>
      <c r="BH431" s="2289"/>
      <c r="BI431" s="2289"/>
      <c r="BJ431" s="2289"/>
      <c r="BK431" s="2289"/>
      <c r="BL431" s="2289"/>
      <c r="BM431" s="2289"/>
      <c r="BN431" s="2289"/>
      <c r="BO431" s="2289"/>
      <c r="BP431" s="2289"/>
      <c r="BQ431" s="2289"/>
      <c r="BR431" s="2289"/>
    </row>
    <row r="432" spans="1:70" ht="15.75" customHeight="1">
      <c r="A432" s="2289"/>
      <c r="B432" s="2289"/>
      <c r="C432" s="2289"/>
      <c r="D432" s="2289"/>
      <c r="E432" s="2289"/>
      <c r="F432" s="2289"/>
      <c r="G432" s="2290"/>
      <c r="H432" s="2289"/>
      <c r="I432" s="2289"/>
      <c r="J432" s="2290"/>
      <c r="K432" s="2289"/>
      <c r="L432" s="2289"/>
      <c r="M432" s="2290"/>
      <c r="N432" s="2290"/>
      <c r="O432" s="2290"/>
      <c r="P432" s="2290"/>
      <c r="Q432" s="2289"/>
      <c r="R432" s="2289"/>
      <c r="S432" s="2289"/>
      <c r="T432" s="2291"/>
      <c r="U432" s="2289"/>
      <c r="V432" s="2289"/>
      <c r="W432" s="2289"/>
      <c r="X432" s="2292"/>
      <c r="Y432" s="2292"/>
      <c r="Z432" s="2289"/>
      <c r="AA432" s="2289"/>
      <c r="AB432" s="2289"/>
      <c r="AC432" s="2289"/>
      <c r="AD432" s="2293"/>
      <c r="AE432" s="2293"/>
      <c r="AF432" s="2293"/>
      <c r="AG432" s="2293"/>
      <c r="AH432" s="2289"/>
      <c r="AI432" s="2289"/>
      <c r="AJ432" s="2294"/>
      <c r="AK432" s="2294"/>
      <c r="AL432" s="2289"/>
      <c r="AM432" s="2289"/>
      <c r="AN432" s="2289"/>
      <c r="AO432" s="2289"/>
      <c r="AP432" s="2289"/>
      <c r="AQ432" s="2289"/>
      <c r="AR432" s="2294"/>
      <c r="AS432" s="2294"/>
      <c r="AT432" s="2295"/>
      <c r="AU432" s="2295"/>
      <c r="AV432" s="2295"/>
      <c r="AW432" s="2295"/>
      <c r="AX432" s="2296"/>
      <c r="AY432" s="2289"/>
      <c r="AZ432" s="2289"/>
      <c r="BA432" s="2289"/>
      <c r="BB432" s="2289"/>
      <c r="BC432" s="2289"/>
      <c r="BD432" s="2289"/>
      <c r="BE432" s="2289"/>
      <c r="BF432" s="2289"/>
      <c r="BG432" s="2289"/>
      <c r="BH432" s="2289"/>
      <c r="BI432" s="2289"/>
      <c r="BJ432" s="2289"/>
      <c r="BK432" s="2289"/>
      <c r="BL432" s="2289"/>
      <c r="BM432" s="2289"/>
      <c r="BN432" s="2289"/>
      <c r="BO432" s="2289"/>
      <c r="BP432" s="2289"/>
      <c r="BQ432" s="2289"/>
      <c r="BR432" s="2289"/>
    </row>
    <row r="433" spans="1:70" ht="15.75" customHeight="1">
      <c r="A433" s="2289"/>
      <c r="B433" s="2289"/>
      <c r="C433" s="2289"/>
      <c r="D433" s="2289"/>
      <c r="E433" s="2289"/>
      <c r="F433" s="2289"/>
      <c r="G433" s="2290"/>
      <c r="H433" s="2289"/>
      <c r="I433" s="2289"/>
      <c r="J433" s="2290"/>
      <c r="K433" s="2289"/>
      <c r="L433" s="2289"/>
      <c r="M433" s="2290"/>
      <c r="N433" s="2290"/>
      <c r="O433" s="2290"/>
      <c r="P433" s="2290"/>
      <c r="Q433" s="2289"/>
      <c r="R433" s="2289"/>
      <c r="S433" s="2289"/>
      <c r="T433" s="2291"/>
      <c r="U433" s="2289"/>
      <c r="V433" s="2289"/>
      <c r="W433" s="2289"/>
      <c r="X433" s="2292"/>
      <c r="Y433" s="2292"/>
      <c r="Z433" s="2289"/>
      <c r="AA433" s="2289"/>
      <c r="AB433" s="2289"/>
      <c r="AC433" s="2289"/>
      <c r="AD433" s="2293"/>
      <c r="AE433" s="2293"/>
      <c r="AF433" s="2293"/>
      <c r="AG433" s="2293"/>
      <c r="AH433" s="2289"/>
      <c r="AI433" s="2289"/>
      <c r="AJ433" s="2294"/>
      <c r="AK433" s="2294"/>
      <c r="AL433" s="2289"/>
      <c r="AM433" s="2289"/>
      <c r="AN433" s="2289"/>
      <c r="AO433" s="2289"/>
      <c r="AP433" s="2289"/>
      <c r="AQ433" s="2289"/>
      <c r="AR433" s="2294"/>
      <c r="AS433" s="2294"/>
      <c r="AT433" s="2295"/>
      <c r="AU433" s="2295"/>
      <c r="AV433" s="2295"/>
      <c r="AW433" s="2295"/>
      <c r="AX433" s="2296"/>
      <c r="AY433" s="2289"/>
      <c r="AZ433" s="2289"/>
      <c r="BA433" s="2289"/>
      <c r="BB433" s="2289"/>
      <c r="BC433" s="2289"/>
      <c r="BD433" s="2289"/>
      <c r="BE433" s="2289"/>
      <c r="BF433" s="2289"/>
      <c r="BG433" s="2289"/>
      <c r="BH433" s="2289"/>
      <c r="BI433" s="2289"/>
      <c r="BJ433" s="2289"/>
      <c r="BK433" s="2289"/>
      <c r="BL433" s="2289"/>
      <c r="BM433" s="2289"/>
      <c r="BN433" s="2289"/>
      <c r="BO433" s="2289"/>
      <c r="BP433" s="2289"/>
      <c r="BQ433" s="2289"/>
      <c r="BR433" s="2289"/>
    </row>
    <row r="434" spans="1:70" ht="15.75" customHeight="1">
      <c r="A434" s="2289"/>
      <c r="B434" s="2289"/>
      <c r="C434" s="2289"/>
      <c r="D434" s="2289"/>
      <c r="E434" s="2289"/>
      <c r="F434" s="2289"/>
      <c r="G434" s="2290"/>
      <c r="H434" s="2289"/>
      <c r="I434" s="2289"/>
      <c r="J434" s="2290"/>
      <c r="K434" s="2289"/>
      <c r="L434" s="2289"/>
      <c r="M434" s="2290"/>
      <c r="N434" s="2290"/>
      <c r="O434" s="2290"/>
      <c r="P434" s="2290"/>
      <c r="Q434" s="2289"/>
      <c r="R434" s="2289"/>
      <c r="S434" s="2289"/>
      <c r="T434" s="2291"/>
      <c r="U434" s="2289"/>
      <c r="V434" s="2289"/>
      <c r="W434" s="2289"/>
      <c r="X434" s="2292"/>
      <c r="Y434" s="2292"/>
      <c r="Z434" s="2289"/>
      <c r="AA434" s="2289"/>
      <c r="AB434" s="2289"/>
      <c r="AC434" s="2289"/>
      <c r="AD434" s="2293"/>
      <c r="AE434" s="2293"/>
      <c r="AF434" s="2293"/>
      <c r="AG434" s="2293"/>
      <c r="AH434" s="2289"/>
      <c r="AI434" s="2289"/>
      <c r="AJ434" s="2294"/>
      <c r="AK434" s="2294"/>
      <c r="AL434" s="2289"/>
      <c r="AM434" s="2289"/>
      <c r="AN434" s="2289"/>
      <c r="AO434" s="2289"/>
      <c r="AP434" s="2289"/>
      <c r="AQ434" s="2289"/>
      <c r="AR434" s="2294"/>
      <c r="AS434" s="2294"/>
      <c r="AT434" s="2295"/>
      <c r="AU434" s="2295"/>
      <c r="AV434" s="2295"/>
      <c r="AW434" s="2295"/>
      <c r="AX434" s="2296"/>
      <c r="AY434" s="2289"/>
      <c r="AZ434" s="2289"/>
      <c r="BA434" s="2289"/>
      <c r="BB434" s="2289"/>
      <c r="BC434" s="2289"/>
      <c r="BD434" s="2289"/>
      <c r="BE434" s="2289"/>
      <c r="BF434" s="2289"/>
      <c r="BG434" s="2289"/>
      <c r="BH434" s="2289"/>
      <c r="BI434" s="2289"/>
      <c r="BJ434" s="2289"/>
      <c r="BK434" s="2289"/>
      <c r="BL434" s="2289"/>
      <c r="BM434" s="2289"/>
      <c r="BN434" s="2289"/>
      <c r="BO434" s="2289"/>
      <c r="BP434" s="2289"/>
      <c r="BQ434" s="2289"/>
      <c r="BR434" s="2289"/>
    </row>
    <row r="435" spans="1:70" ht="15.75" customHeight="1">
      <c r="A435" s="2289"/>
      <c r="B435" s="2289"/>
      <c r="C435" s="2289"/>
      <c r="D435" s="2289"/>
      <c r="E435" s="2289"/>
      <c r="F435" s="2289"/>
      <c r="G435" s="2290"/>
      <c r="H435" s="2289"/>
      <c r="I435" s="2289"/>
      <c r="J435" s="2290"/>
      <c r="K435" s="2289"/>
      <c r="L435" s="2289"/>
      <c r="M435" s="2290"/>
      <c r="N435" s="2290"/>
      <c r="O435" s="2290"/>
      <c r="P435" s="2290"/>
      <c r="Q435" s="2289"/>
      <c r="R435" s="2289"/>
      <c r="S435" s="2289"/>
      <c r="T435" s="2291"/>
      <c r="U435" s="2289"/>
      <c r="V435" s="2289"/>
      <c r="W435" s="2289"/>
      <c r="X435" s="2292"/>
      <c r="Y435" s="2292"/>
      <c r="Z435" s="2289"/>
      <c r="AA435" s="2289"/>
      <c r="AB435" s="2289"/>
      <c r="AC435" s="2289"/>
      <c r="AD435" s="2293"/>
      <c r="AE435" s="2293"/>
      <c r="AF435" s="2293"/>
      <c r="AG435" s="2293"/>
      <c r="AH435" s="2289"/>
      <c r="AI435" s="2289"/>
      <c r="AJ435" s="2294"/>
      <c r="AK435" s="2294"/>
      <c r="AL435" s="2289"/>
      <c r="AM435" s="2289"/>
      <c r="AN435" s="2289"/>
      <c r="AO435" s="2289"/>
      <c r="AP435" s="2289"/>
      <c r="AQ435" s="2289"/>
      <c r="AR435" s="2294"/>
      <c r="AS435" s="2294"/>
      <c r="AT435" s="2295"/>
      <c r="AU435" s="2295"/>
      <c r="AV435" s="2295"/>
      <c r="AW435" s="2295"/>
      <c r="AX435" s="2296"/>
      <c r="AY435" s="2289"/>
      <c r="AZ435" s="2289"/>
      <c r="BA435" s="2289"/>
      <c r="BB435" s="2289"/>
      <c r="BC435" s="2289"/>
      <c r="BD435" s="2289"/>
      <c r="BE435" s="2289"/>
      <c r="BF435" s="2289"/>
      <c r="BG435" s="2289"/>
      <c r="BH435" s="2289"/>
      <c r="BI435" s="2289"/>
      <c r="BJ435" s="2289"/>
      <c r="BK435" s="2289"/>
      <c r="BL435" s="2289"/>
      <c r="BM435" s="2289"/>
      <c r="BN435" s="2289"/>
      <c r="BO435" s="2289"/>
      <c r="BP435" s="2289"/>
      <c r="BQ435" s="2289"/>
      <c r="BR435" s="2289"/>
    </row>
    <row r="436" spans="1:70" ht="15.75" customHeight="1">
      <c r="A436" s="2289"/>
      <c r="B436" s="2289"/>
      <c r="C436" s="2289"/>
      <c r="D436" s="2289"/>
      <c r="E436" s="2289"/>
      <c r="F436" s="2289"/>
      <c r="G436" s="2290"/>
      <c r="H436" s="2289"/>
      <c r="I436" s="2289"/>
      <c r="J436" s="2290"/>
      <c r="K436" s="2289"/>
      <c r="L436" s="2289"/>
      <c r="M436" s="2290"/>
      <c r="N436" s="2290"/>
      <c r="O436" s="2290"/>
      <c r="P436" s="2290"/>
      <c r="Q436" s="2289"/>
      <c r="R436" s="2289"/>
      <c r="S436" s="2289"/>
      <c r="T436" s="2291"/>
      <c r="U436" s="2289"/>
      <c r="V436" s="2289"/>
      <c r="W436" s="2289"/>
      <c r="X436" s="2292"/>
      <c r="Y436" s="2292"/>
      <c r="Z436" s="2289"/>
      <c r="AA436" s="2289"/>
      <c r="AB436" s="2289"/>
      <c r="AC436" s="2289"/>
      <c r="AD436" s="2293"/>
      <c r="AE436" s="2293"/>
      <c r="AF436" s="2293"/>
      <c r="AG436" s="2293"/>
      <c r="AH436" s="2289"/>
      <c r="AI436" s="2289"/>
      <c r="AJ436" s="2294"/>
      <c r="AK436" s="2294"/>
      <c r="AL436" s="2289"/>
      <c r="AM436" s="2289"/>
      <c r="AN436" s="2289"/>
      <c r="AO436" s="2289"/>
      <c r="AP436" s="2289"/>
      <c r="AQ436" s="2289"/>
      <c r="AR436" s="2294"/>
      <c r="AS436" s="2294"/>
      <c r="AT436" s="2295"/>
      <c r="AU436" s="2295"/>
      <c r="AV436" s="2295"/>
      <c r="AW436" s="2295"/>
      <c r="AX436" s="2296"/>
      <c r="AY436" s="2289"/>
      <c r="AZ436" s="2289"/>
      <c r="BA436" s="2289"/>
      <c r="BB436" s="2289"/>
      <c r="BC436" s="2289"/>
      <c r="BD436" s="2289"/>
      <c r="BE436" s="2289"/>
      <c r="BF436" s="2289"/>
      <c r="BG436" s="2289"/>
      <c r="BH436" s="2289"/>
      <c r="BI436" s="2289"/>
      <c r="BJ436" s="2289"/>
      <c r="BK436" s="2289"/>
      <c r="BL436" s="2289"/>
      <c r="BM436" s="2289"/>
      <c r="BN436" s="2289"/>
      <c r="BO436" s="2289"/>
      <c r="BP436" s="2289"/>
      <c r="BQ436" s="2289"/>
      <c r="BR436" s="2289"/>
    </row>
    <row r="437" spans="1:70" ht="15.75" customHeight="1">
      <c r="A437" s="2289"/>
      <c r="B437" s="2289"/>
      <c r="C437" s="2289"/>
      <c r="D437" s="2289"/>
      <c r="E437" s="2289"/>
      <c r="F437" s="2289"/>
      <c r="G437" s="2290"/>
      <c r="H437" s="2289"/>
      <c r="I437" s="2289"/>
      <c r="J437" s="2290"/>
      <c r="K437" s="2289"/>
      <c r="L437" s="2289"/>
      <c r="M437" s="2290"/>
      <c r="N437" s="2290"/>
      <c r="O437" s="2290"/>
      <c r="P437" s="2290"/>
      <c r="Q437" s="2289"/>
      <c r="R437" s="2289"/>
      <c r="S437" s="2289"/>
      <c r="T437" s="2291"/>
      <c r="U437" s="2289"/>
      <c r="V437" s="2289"/>
      <c r="W437" s="2289"/>
      <c r="X437" s="2292"/>
      <c r="Y437" s="2292"/>
      <c r="Z437" s="2289"/>
      <c r="AA437" s="2289"/>
      <c r="AB437" s="2289"/>
      <c r="AC437" s="2289"/>
      <c r="AD437" s="2293"/>
      <c r="AE437" s="2293"/>
      <c r="AF437" s="2293"/>
      <c r="AG437" s="2293"/>
      <c r="AH437" s="2289"/>
      <c r="AI437" s="2289"/>
      <c r="AJ437" s="2294"/>
      <c r="AK437" s="2294"/>
      <c r="AL437" s="2289"/>
      <c r="AM437" s="2289"/>
      <c r="AN437" s="2289"/>
      <c r="AO437" s="2289"/>
      <c r="AP437" s="2289"/>
      <c r="AQ437" s="2289"/>
      <c r="AR437" s="2294"/>
      <c r="AS437" s="2294"/>
      <c r="AT437" s="2295"/>
      <c r="AU437" s="2295"/>
      <c r="AV437" s="2295"/>
      <c r="AW437" s="2295"/>
      <c r="AX437" s="2296"/>
      <c r="AY437" s="2289"/>
      <c r="AZ437" s="2289"/>
      <c r="BA437" s="2289"/>
      <c r="BB437" s="2289"/>
      <c r="BC437" s="2289"/>
      <c r="BD437" s="2289"/>
      <c r="BE437" s="2289"/>
      <c r="BF437" s="2289"/>
      <c r="BG437" s="2289"/>
      <c r="BH437" s="2289"/>
      <c r="BI437" s="2289"/>
      <c r="BJ437" s="2289"/>
      <c r="BK437" s="2289"/>
      <c r="BL437" s="2289"/>
      <c r="BM437" s="2289"/>
      <c r="BN437" s="2289"/>
      <c r="BO437" s="2289"/>
      <c r="BP437" s="2289"/>
      <c r="BQ437" s="2289"/>
      <c r="BR437" s="2289"/>
    </row>
    <row r="438" spans="1:70" ht="15.75" customHeight="1">
      <c r="A438" s="2289"/>
      <c r="B438" s="2289"/>
      <c r="C438" s="2289"/>
      <c r="D438" s="2289"/>
      <c r="E438" s="2289"/>
      <c r="F438" s="2289"/>
      <c r="G438" s="2290"/>
      <c r="H438" s="2289"/>
      <c r="I438" s="2289"/>
      <c r="J438" s="2290"/>
      <c r="K438" s="2289"/>
      <c r="L438" s="2289"/>
      <c r="M438" s="2290"/>
      <c r="N438" s="2290"/>
      <c r="O438" s="2290"/>
      <c r="P438" s="2290"/>
      <c r="Q438" s="2289"/>
      <c r="R438" s="2289"/>
      <c r="S438" s="2289"/>
      <c r="T438" s="2291"/>
      <c r="U438" s="2289"/>
      <c r="V438" s="2289"/>
      <c r="W438" s="2289"/>
      <c r="X438" s="2292"/>
      <c r="Y438" s="2292"/>
      <c r="Z438" s="2289"/>
      <c r="AA438" s="2289"/>
      <c r="AB438" s="2289"/>
      <c r="AC438" s="2289"/>
      <c r="AD438" s="2293"/>
      <c r="AE438" s="2293"/>
      <c r="AF438" s="2293"/>
      <c r="AG438" s="2293"/>
      <c r="AH438" s="2289"/>
      <c r="AI438" s="2289"/>
      <c r="AJ438" s="2294"/>
      <c r="AK438" s="2294"/>
      <c r="AL438" s="2289"/>
      <c r="AM438" s="2289"/>
      <c r="AN438" s="2289"/>
      <c r="AO438" s="2289"/>
      <c r="AP438" s="2289"/>
      <c r="AQ438" s="2289"/>
      <c r="AR438" s="2294"/>
      <c r="AS438" s="2294"/>
      <c r="AT438" s="2295"/>
      <c r="AU438" s="2295"/>
      <c r="AV438" s="2295"/>
      <c r="AW438" s="2295"/>
      <c r="AX438" s="2296"/>
      <c r="AY438" s="2289"/>
      <c r="AZ438" s="2289"/>
      <c r="BA438" s="2289"/>
      <c r="BB438" s="2289"/>
      <c r="BC438" s="2289"/>
      <c r="BD438" s="2289"/>
      <c r="BE438" s="2289"/>
      <c r="BF438" s="2289"/>
      <c r="BG438" s="2289"/>
      <c r="BH438" s="2289"/>
      <c r="BI438" s="2289"/>
      <c r="BJ438" s="2289"/>
      <c r="BK438" s="2289"/>
      <c r="BL438" s="2289"/>
      <c r="BM438" s="2289"/>
      <c r="BN438" s="2289"/>
      <c r="BO438" s="2289"/>
      <c r="BP438" s="2289"/>
      <c r="BQ438" s="2289"/>
      <c r="BR438" s="2289"/>
    </row>
    <row r="439" spans="1:70" ht="15.75" customHeight="1">
      <c r="A439" s="2289"/>
      <c r="B439" s="2289"/>
      <c r="C439" s="2289"/>
      <c r="D439" s="2289"/>
      <c r="E439" s="2289"/>
      <c r="F439" s="2289"/>
      <c r="G439" s="2290"/>
      <c r="H439" s="2289"/>
      <c r="I439" s="2289"/>
      <c r="J439" s="2290"/>
      <c r="K439" s="2289"/>
      <c r="L439" s="2289"/>
      <c r="M439" s="2290"/>
      <c r="N439" s="2290"/>
      <c r="O439" s="2290"/>
      <c r="P439" s="2290"/>
      <c r="Q439" s="2289"/>
      <c r="R439" s="2289"/>
      <c r="S439" s="2289"/>
      <c r="T439" s="2291"/>
      <c r="U439" s="2289"/>
      <c r="V439" s="2289"/>
      <c r="W439" s="2289"/>
      <c r="X439" s="2292"/>
      <c r="Y439" s="2292"/>
      <c r="Z439" s="2289"/>
      <c r="AA439" s="2289"/>
      <c r="AB439" s="2289"/>
      <c r="AC439" s="2289"/>
      <c r="AD439" s="2293"/>
      <c r="AE439" s="2293"/>
      <c r="AF439" s="2293"/>
      <c r="AG439" s="2293"/>
      <c r="AH439" s="2289"/>
      <c r="AI439" s="2289"/>
      <c r="AJ439" s="2294"/>
      <c r="AK439" s="2294"/>
      <c r="AL439" s="2289"/>
      <c r="AM439" s="2289"/>
      <c r="AN439" s="2289"/>
      <c r="AO439" s="2289"/>
      <c r="AP439" s="2289"/>
      <c r="AQ439" s="2289"/>
      <c r="AR439" s="2294"/>
      <c r="AS439" s="2294"/>
      <c r="AT439" s="2295"/>
      <c r="AU439" s="2295"/>
      <c r="AV439" s="2295"/>
      <c r="AW439" s="2295"/>
      <c r="AX439" s="2296"/>
      <c r="AY439" s="2289"/>
      <c r="AZ439" s="2289"/>
      <c r="BA439" s="2289"/>
      <c r="BB439" s="2289"/>
      <c r="BC439" s="2289"/>
      <c r="BD439" s="2289"/>
      <c r="BE439" s="2289"/>
      <c r="BF439" s="2289"/>
      <c r="BG439" s="2289"/>
      <c r="BH439" s="2289"/>
      <c r="BI439" s="2289"/>
      <c r="BJ439" s="2289"/>
      <c r="BK439" s="2289"/>
      <c r="BL439" s="2289"/>
      <c r="BM439" s="2289"/>
      <c r="BN439" s="2289"/>
      <c r="BO439" s="2289"/>
      <c r="BP439" s="2289"/>
      <c r="BQ439" s="2289"/>
      <c r="BR439" s="2289"/>
    </row>
    <row r="440" spans="1:70" ht="15.75" customHeight="1">
      <c r="A440" s="2289"/>
      <c r="B440" s="2289"/>
      <c r="C440" s="2289"/>
      <c r="D440" s="2289"/>
      <c r="E440" s="2289"/>
      <c r="F440" s="2289"/>
      <c r="G440" s="2290"/>
      <c r="H440" s="2289"/>
      <c r="I440" s="2289"/>
      <c r="J440" s="2290"/>
      <c r="K440" s="2289"/>
      <c r="L440" s="2289"/>
      <c r="M440" s="2290"/>
      <c r="N440" s="2290"/>
      <c r="O440" s="2290"/>
      <c r="P440" s="2290"/>
      <c r="Q440" s="2289"/>
      <c r="R440" s="2289"/>
      <c r="S440" s="2289"/>
      <c r="T440" s="2291"/>
      <c r="U440" s="2289"/>
      <c r="V440" s="2289"/>
      <c r="W440" s="2289"/>
      <c r="X440" s="2292"/>
      <c r="Y440" s="2292"/>
      <c r="Z440" s="2289"/>
      <c r="AA440" s="2289"/>
      <c r="AB440" s="2289"/>
      <c r="AC440" s="2289"/>
      <c r="AD440" s="2293"/>
      <c r="AE440" s="2293"/>
      <c r="AF440" s="2293"/>
      <c r="AG440" s="2293"/>
      <c r="AH440" s="2289"/>
      <c r="AI440" s="2289"/>
      <c r="AJ440" s="2294"/>
      <c r="AK440" s="2294"/>
      <c r="AL440" s="2289"/>
      <c r="AM440" s="2289"/>
      <c r="AN440" s="2289"/>
      <c r="AO440" s="2289"/>
      <c r="AP440" s="2289"/>
      <c r="AQ440" s="2289"/>
      <c r="AR440" s="2294"/>
      <c r="AS440" s="2294"/>
      <c r="AT440" s="2295"/>
      <c r="AU440" s="2295"/>
      <c r="AV440" s="2295"/>
      <c r="AW440" s="2295"/>
      <c r="AX440" s="2296"/>
      <c r="AY440" s="2289"/>
      <c r="AZ440" s="2289"/>
      <c r="BA440" s="2289"/>
      <c r="BB440" s="2289"/>
      <c r="BC440" s="2289"/>
      <c r="BD440" s="2289"/>
      <c r="BE440" s="2289"/>
      <c r="BF440" s="2289"/>
      <c r="BG440" s="2289"/>
      <c r="BH440" s="2289"/>
      <c r="BI440" s="2289"/>
      <c r="BJ440" s="2289"/>
      <c r="BK440" s="2289"/>
      <c r="BL440" s="2289"/>
      <c r="BM440" s="2289"/>
      <c r="BN440" s="2289"/>
      <c r="BO440" s="2289"/>
      <c r="BP440" s="2289"/>
      <c r="BQ440" s="2289"/>
      <c r="BR440" s="2289"/>
    </row>
    <row r="441" spans="1:70" ht="15.75" customHeight="1">
      <c r="A441" s="2289"/>
      <c r="B441" s="2289"/>
      <c r="C441" s="2289"/>
      <c r="D441" s="2289"/>
      <c r="E441" s="2289"/>
      <c r="F441" s="2289"/>
      <c r="G441" s="2290"/>
      <c r="H441" s="2289"/>
      <c r="I441" s="2289"/>
      <c r="J441" s="2290"/>
      <c r="K441" s="2289"/>
      <c r="L441" s="2289"/>
      <c r="M441" s="2290"/>
      <c r="N441" s="2290"/>
      <c r="O441" s="2290"/>
      <c r="P441" s="2290"/>
      <c r="Q441" s="2289"/>
      <c r="R441" s="2289"/>
      <c r="S441" s="2289"/>
      <c r="T441" s="2291"/>
      <c r="U441" s="2289"/>
      <c r="V441" s="2289"/>
      <c r="W441" s="2289"/>
      <c r="X441" s="2292"/>
      <c r="Y441" s="2292"/>
      <c r="Z441" s="2289"/>
      <c r="AA441" s="2289"/>
      <c r="AB441" s="2289"/>
      <c r="AC441" s="2289"/>
      <c r="AD441" s="2293"/>
      <c r="AE441" s="2293"/>
      <c r="AF441" s="2293"/>
      <c r="AG441" s="2293"/>
      <c r="AH441" s="2289"/>
      <c r="AI441" s="2289"/>
      <c r="AJ441" s="2294"/>
      <c r="AK441" s="2294"/>
      <c r="AL441" s="2289"/>
      <c r="AM441" s="2289"/>
      <c r="AN441" s="2289"/>
      <c r="AO441" s="2289"/>
      <c r="AP441" s="2289"/>
      <c r="AQ441" s="2289"/>
      <c r="AR441" s="2294"/>
      <c r="AS441" s="2294"/>
      <c r="AT441" s="2295"/>
      <c r="AU441" s="2295"/>
      <c r="AV441" s="2295"/>
      <c r="AW441" s="2295"/>
      <c r="AX441" s="2296"/>
      <c r="AY441" s="2289"/>
      <c r="AZ441" s="2289"/>
      <c r="BA441" s="2289"/>
      <c r="BB441" s="2289"/>
      <c r="BC441" s="2289"/>
      <c r="BD441" s="2289"/>
      <c r="BE441" s="2289"/>
      <c r="BF441" s="2289"/>
      <c r="BG441" s="2289"/>
      <c r="BH441" s="2289"/>
      <c r="BI441" s="2289"/>
      <c r="BJ441" s="2289"/>
      <c r="BK441" s="2289"/>
      <c r="BL441" s="2289"/>
      <c r="BM441" s="2289"/>
      <c r="BN441" s="2289"/>
      <c r="BO441" s="2289"/>
      <c r="BP441" s="2289"/>
      <c r="BQ441" s="2289"/>
      <c r="BR441" s="2289"/>
    </row>
    <row r="442" spans="1:70" ht="15.75" customHeight="1">
      <c r="A442" s="2289"/>
      <c r="B442" s="2289"/>
      <c r="C442" s="2289"/>
      <c r="D442" s="2289"/>
      <c r="E442" s="2289"/>
      <c r="F442" s="2289"/>
      <c r="G442" s="2290"/>
      <c r="H442" s="2289"/>
      <c r="I442" s="2289"/>
      <c r="J442" s="2290"/>
      <c r="K442" s="2289"/>
      <c r="L442" s="2289"/>
      <c r="M442" s="2290"/>
      <c r="N442" s="2290"/>
      <c r="O442" s="2290"/>
      <c r="P442" s="2290"/>
      <c r="Q442" s="2289"/>
      <c r="R442" s="2289"/>
      <c r="S442" s="2289"/>
      <c r="T442" s="2291"/>
      <c r="U442" s="2289"/>
      <c r="V442" s="2289"/>
      <c r="W442" s="2289"/>
      <c r="X442" s="2292"/>
      <c r="Y442" s="2292"/>
      <c r="Z442" s="2289"/>
      <c r="AA442" s="2289"/>
      <c r="AB442" s="2289"/>
      <c r="AC442" s="2289"/>
      <c r="AD442" s="2293"/>
      <c r="AE442" s="2293"/>
      <c r="AF442" s="2293"/>
      <c r="AG442" s="2293"/>
      <c r="AH442" s="2289"/>
      <c r="AI442" s="2289"/>
      <c r="AJ442" s="2294"/>
      <c r="AK442" s="2294"/>
      <c r="AL442" s="2289"/>
      <c r="AM442" s="2289"/>
      <c r="AN442" s="2289"/>
      <c r="AO442" s="2289"/>
      <c r="AP442" s="2289"/>
      <c r="AQ442" s="2289"/>
      <c r="AR442" s="2294"/>
      <c r="AS442" s="2294"/>
      <c r="AT442" s="2295"/>
      <c r="AU442" s="2295"/>
      <c r="AV442" s="2295"/>
      <c r="AW442" s="2295"/>
      <c r="AX442" s="2296"/>
      <c r="AY442" s="2289"/>
      <c r="AZ442" s="2289"/>
      <c r="BA442" s="2289"/>
      <c r="BB442" s="2289"/>
      <c r="BC442" s="2289"/>
      <c r="BD442" s="2289"/>
      <c r="BE442" s="2289"/>
      <c r="BF442" s="2289"/>
      <c r="BG442" s="2289"/>
      <c r="BH442" s="2289"/>
      <c r="BI442" s="2289"/>
      <c r="BJ442" s="2289"/>
      <c r="BK442" s="2289"/>
      <c r="BL442" s="2289"/>
      <c r="BM442" s="2289"/>
      <c r="BN442" s="2289"/>
      <c r="BO442" s="2289"/>
      <c r="BP442" s="2289"/>
      <c r="BQ442" s="2289"/>
      <c r="BR442" s="2289"/>
    </row>
    <row r="443" spans="1:70" ht="15.75" customHeight="1">
      <c r="A443" s="2289"/>
      <c r="B443" s="2289"/>
      <c r="C443" s="2289"/>
      <c r="D443" s="2289"/>
      <c r="E443" s="2289"/>
      <c r="F443" s="2289"/>
      <c r="G443" s="2290"/>
      <c r="H443" s="2289"/>
      <c r="I443" s="2289"/>
      <c r="J443" s="2290"/>
      <c r="K443" s="2289"/>
      <c r="L443" s="2289"/>
      <c r="M443" s="2290"/>
      <c r="N443" s="2290"/>
      <c r="O443" s="2290"/>
      <c r="P443" s="2290"/>
      <c r="Q443" s="2289"/>
      <c r="R443" s="2289"/>
      <c r="S443" s="2289"/>
      <c r="T443" s="2291"/>
      <c r="U443" s="2289"/>
      <c r="V443" s="2289"/>
      <c r="W443" s="2289"/>
      <c r="X443" s="2292"/>
      <c r="Y443" s="2292"/>
      <c r="Z443" s="2289"/>
      <c r="AA443" s="2289"/>
      <c r="AB443" s="2289"/>
      <c r="AC443" s="2289"/>
      <c r="AD443" s="2293"/>
      <c r="AE443" s="2293"/>
      <c r="AF443" s="2293"/>
      <c r="AG443" s="2293"/>
      <c r="AH443" s="2289"/>
      <c r="AI443" s="2289"/>
      <c r="AJ443" s="2294"/>
      <c r="AK443" s="2294"/>
      <c r="AL443" s="2289"/>
      <c r="AM443" s="2289"/>
      <c r="AN443" s="2289"/>
      <c r="AO443" s="2289"/>
      <c r="AP443" s="2289"/>
      <c r="AQ443" s="2289"/>
      <c r="AR443" s="2294"/>
      <c r="AS443" s="2294"/>
      <c r="AT443" s="2295"/>
      <c r="AU443" s="2295"/>
      <c r="AV443" s="2295"/>
      <c r="AW443" s="2295"/>
      <c r="AX443" s="2296"/>
      <c r="AY443" s="2289"/>
      <c r="AZ443" s="2289"/>
      <c r="BA443" s="2289"/>
      <c r="BB443" s="2289"/>
      <c r="BC443" s="2289"/>
      <c r="BD443" s="2289"/>
      <c r="BE443" s="2289"/>
      <c r="BF443" s="2289"/>
      <c r="BG443" s="2289"/>
      <c r="BH443" s="2289"/>
      <c r="BI443" s="2289"/>
      <c r="BJ443" s="2289"/>
      <c r="BK443" s="2289"/>
      <c r="BL443" s="2289"/>
      <c r="BM443" s="2289"/>
      <c r="BN443" s="2289"/>
      <c r="BO443" s="2289"/>
      <c r="BP443" s="2289"/>
      <c r="BQ443" s="2289"/>
      <c r="BR443" s="2289"/>
    </row>
    <row r="444" spans="1:70" ht="15.75" customHeight="1">
      <c r="A444" s="2289"/>
      <c r="B444" s="2289"/>
      <c r="C444" s="2289"/>
      <c r="D444" s="2289"/>
      <c r="E444" s="2289"/>
      <c r="F444" s="2289"/>
      <c r="G444" s="2290"/>
      <c r="H444" s="2289"/>
      <c r="I444" s="2289"/>
      <c r="J444" s="2290"/>
      <c r="K444" s="2289"/>
      <c r="L444" s="2289"/>
      <c r="M444" s="2290"/>
      <c r="N444" s="2290"/>
      <c r="O444" s="2290"/>
      <c r="P444" s="2290"/>
      <c r="Q444" s="2289"/>
      <c r="R444" s="2289"/>
      <c r="S444" s="2289"/>
      <c r="T444" s="2291"/>
      <c r="U444" s="2289"/>
      <c r="V444" s="2289"/>
      <c r="W444" s="2289"/>
      <c r="X444" s="2292"/>
      <c r="Y444" s="2292"/>
      <c r="Z444" s="2289"/>
      <c r="AA444" s="2289"/>
      <c r="AB444" s="2289"/>
      <c r="AC444" s="2289"/>
      <c r="AD444" s="2293"/>
      <c r="AE444" s="2293"/>
      <c r="AF444" s="2293"/>
      <c r="AG444" s="2293"/>
      <c r="AH444" s="2289"/>
      <c r="AI444" s="2289"/>
      <c r="AJ444" s="2294"/>
      <c r="AK444" s="2294"/>
      <c r="AL444" s="2289"/>
      <c r="AM444" s="2289"/>
      <c r="AN444" s="2289"/>
      <c r="AO444" s="2289"/>
      <c r="AP444" s="2289"/>
      <c r="AQ444" s="2289"/>
      <c r="AR444" s="2294"/>
      <c r="AS444" s="2294"/>
      <c r="AT444" s="2295"/>
      <c r="AU444" s="2295"/>
      <c r="AV444" s="2295"/>
      <c r="AW444" s="2295"/>
      <c r="AX444" s="2296"/>
      <c r="AY444" s="2289"/>
      <c r="AZ444" s="2289"/>
      <c r="BA444" s="2289"/>
      <c r="BB444" s="2289"/>
      <c r="BC444" s="2289"/>
      <c r="BD444" s="2289"/>
      <c r="BE444" s="2289"/>
      <c r="BF444" s="2289"/>
      <c r="BG444" s="2289"/>
      <c r="BH444" s="2289"/>
      <c r="BI444" s="2289"/>
      <c r="BJ444" s="2289"/>
      <c r="BK444" s="2289"/>
      <c r="BL444" s="2289"/>
      <c r="BM444" s="2289"/>
      <c r="BN444" s="2289"/>
      <c r="BO444" s="2289"/>
      <c r="BP444" s="2289"/>
      <c r="BQ444" s="2289"/>
      <c r="BR444" s="2289"/>
    </row>
    <row r="445" spans="1:70" ht="15.75" customHeight="1">
      <c r="A445" s="2289"/>
      <c r="B445" s="2289"/>
      <c r="C445" s="2289"/>
      <c r="D445" s="2289"/>
      <c r="E445" s="2289"/>
      <c r="F445" s="2289"/>
      <c r="G445" s="2290"/>
      <c r="H445" s="2289"/>
      <c r="I445" s="2289"/>
      <c r="J445" s="2290"/>
      <c r="K445" s="2289"/>
      <c r="L445" s="2289"/>
      <c r="M445" s="2290"/>
      <c r="N445" s="2290"/>
      <c r="O445" s="2290"/>
      <c r="P445" s="2290"/>
      <c r="Q445" s="2289"/>
      <c r="R445" s="2289"/>
      <c r="S445" s="2289"/>
      <c r="T445" s="2291"/>
      <c r="U445" s="2289"/>
      <c r="V445" s="2289"/>
      <c r="W445" s="2289"/>
      <c r="X445" s="2292"/>
      <c r="Y445" s="2292"/>
      <c r="Z445" s="2289"/>
      <c r="AA445" s="2289"/>
      <c r="AB445" s="2289"/>
      <c r="AC445" s="2289"/>
      <c r="AD445" s="2293"/>
      <c r="AE445" s="2293"/>
      <c r="AF445" s="2293"/>
      <c r="AG445" s="2293"/>
      <c r="AH445" s="2289"/>
      <c r="AI445" s="2289"/>
      <c r="AJ445" s="2294"/>
      <c r="AK445" s="2294"/>
      <c r="AL445" s="2289"/>
      <c r="AM445" s="2289"/>
      <c r="AN445" s="2289"/>
      <c r="AO445" s="2289"/>
      <c r="AP445" s="2289"/>
      <c r="AQ445" s="2289"/>
      <c r="AR445" s="2294"/>
      <c r="AS445" s="2294"/>
      <c r="AT445" s="2295"/>
      <c r="AU445" s="2295"/>
      <c r="AV445" s="2295"/>
      <c r="AW445" s="2295"/>
      <c r="AX445" s="2296"/>
      <c r="AY445" s="2289"/>
      <c r="AZ445" s="2289"/>
      <c r="BA445" s="2289"/>
      <c r="BB445" s="2289"/>
      <c r="BC445" s="2289"/>
      <c r="BD445" s="2289"/>
      <c r="BE445" s="2289"/>
      <c r="BF445" s="2289"/>
      <c r="BG445" s="2289"/>
      <c r="BH445" s="2289"/>
      <c r="BI445" s="2289"/>
      <c r="BJ445" s="2289"/>
      <c r="BK445" s="2289"/>
      <c r="BL445" s="2289"/>
      <c r="BM445" s="2289"/>
      <c r="BN445" s="2289"/>
      <c r="BO445" s="2289"/>
      <c r="BP445" s="2289"/>
      <c r="BQ445" s="2289"/>
      <c r="BR445" s="2289"/>
    </row>
    <row r="446" spans="1:70" ht="15.75" customHeight="1">
      <c r="A446" s="2289"/>
      <c r="B446" s="2289"/>
      <c r="C446" s="2289"/>
      <c r="D446" s="2289"/>
      <c r="E446" s="2289"/>
      <c r="F446" s="2289"/>
      <c r="G446" s="2290"/>
      <c r="H446" s="2289"/>
      <c r="I446" s="2289"/>
      <c r="J446" s="2290"/>
      <c r="K446" s="2289"/>
      <c r="L446" s="2289"/>
      <c r="M446" s="2290"/>
      <c r="N446" s="2290"/>
      <c r="O446" s="2290"/>
      <c r="P446" s="2290"/>
      <c r="Q446" s="2289"/>
      <c r="R446" s="2289"/>
      <c r="S446" s="2289"/>
      <c r="T446" s="2291"/>
      <c r="U446" s="2289"/>
      <c r="V446" s="2289"/>
      <c r="W446" s="2289"/>
      <c r="X446" s="2292"/>
      <c r="Y446" s="2292"/>
      <c r="Z446" s="2289"/>
      <c r="AA446" s="2289"/>
      <c r="AB446" s="2289"/>
      <c r="AC446" s="2289"/>
      <c r="AD446" s="2293"/>
      <c r="AE446" s="2293"/>
      <c r="AF446" s="2293"/>
      <c r="AG446" s="2293"/>
      <c r="AH446" s="2289"/>
      <c r="AI446" s="2289"/>
      <c r="AJ446" s="2294"/>
      <c r="AK446" s="2294"/>
      <c r="AL446" s="2289"/>
      <c r="AM446" s="2289"/>
      <c r="AN446" s="2289"/>
      <c r="AO446" s="2289"/>
      <c r="AP446" s="2289"/>
      <c r="AQ446" s="2289"/>
      <c r="AR446" s="2294"/>
      <c r="AS446" s="2294"/>
      <c r="AT446" s="2295"/>
      <c r="AU446" s="2295"/>
      <c r="AV446" s="2295"/>
      <c r="AW446" s="2295"/>
      <c r="AX446" s="2296"/>
      <c r="AY446" s="2289"/>
      <c r="AZ446" s="2289"/>
      <c r="BA446" s="2289"/>
      <c r="BB446" s="2289"/>
      <c r="BC446" s="2289"/>
      <c r="BD446" s="2289"/>
      <c r="BE446" s="2289"/>
      <c r="BF446" s="2289"/>
      <c r="BG446" s="2289"/>
      <c r="BH446" s="2289"/>
      <c r="BI446" s="2289"/>
      <c r="BJ446" s="2289"/>
      <c r="BK446" s="2289"/>
      <c r="BL446" s="2289"/>
      <c r="BM446" s="2289"/>
      <c r="BN446" s="2289"/>
      <c r="BO446" s="2289"/>
      <c r="BP446" s="2289"/>
      <c r="BQ446" s="2289"/>
      <c r="BR446" s="2289"/>
    </row>
    <row r="447" spans="1:70" ht="15.75" customHeight="1">
      <c r="A447" s="2289"/>
      <c r="B447" s="2289"/>
      <c r="C447" s="2289"/>
      <c r="D447" s="2289"/>
      <c r="E447" s="2289"/>
      <c r="F447" s="2289"/>
      <c r="G447" s="2290"/>
      <c r="H447" s="2289"/>
      <c r="I447" s="2289"/>
      <c r="J447" s="2290"/>
      <c r="K447" s="2289"/>
      <c r="L447" s="2289"/>
      <c r="M447" s="2290"/>
      <c r="N447" s="2290"/>
      <c r="O447" s="2290"/>
      <c r="P447" s="2290"/>
      <c r="Q447" s="2289"/>
      <c r="R447" s="2289"/>
      <c r="S447" s="2289"/>
      <c r="T447" s="2291"/>
      <c r="U447" s="2289"/>
      <c r="V447" s="2289"/>
      <c r="W447" s="2289"/>
      <c r="X447" s="2292"/>
      <c r="Y447" s="2292"/>
      <c r="Z447" s="2289"/>
      <c r="AA447" s="2289"/>
      <c r="AB447" s="2289"/>
      <c r="AC447" s="2289"/>
      <c r="AD447" s="2293"/>
      <c r="AE447" s="2293"/>
      <c r="AF447" s="2293"/>
      <c r="AG447" s="2293"/>
      <c r="AH447" s="2289"/>
      <c r="AI447" s="2289"/>
      <c r="AJ447" s="2294"/>
      <c r="AK447" s="2294"/>
      <c r="AL447" s="2289"/>
      <c r="AM447" s="2289"/>
      <c r="AN447" s="2289"/>
      <c r="AO447" s="2289"/>
      <c r="AP447" s="2289"/>
      <c r="AQ447" s="2289"/>
      <c r="AR447" s="2294"/>
      <c r="AS447" s="2294"/>
      <c r="AT447" s="2295"/>
      <c r="AU447" s="2295"/>
      <c r="AV447" s="2295"/>
      <c r="AW447" s="2295"/>
      <c r="AX447" s="2296"/>
      <c r="AY447" s="2289"/>
      <c r="AZ447" s="2289"/>
      <c r="BA447" s="2289"/>
      <c r="BB447" s="2289"/>
      <c r="BC447" s="2289"/>
      <c r="BD447" s="2289"/>
      <c r="BE447" s="2289"/>
      <c r="BF447" s="2289"/>
      <c r="BG447" s="2289"/>
      <c r="BH447" s="2289"/>
      <c r="BI447" s="2289"/>
      <c r="BJ447" s="2289"/>
      <c r="BK447" s="2289"/>
      <c r="BL447" s="2289"/>
      <c r="BM447" s="2289"/>
      <c r="BN447" s="2289"/>
      <c r="BO447" s="2289"/>
      <c r="BP447" s="2289"/>
      <c r="BQ447" s="2289"/>
      <c r="BR447" s="2289"/>
    </row>
    <row r="448" spans="1:70" ht="15.75" customHeight="1">
      <c r="A448" s="2289"/>
      <c r="B448" s="2289"/>
      <c r="C448" s="2289"/>
      <c r="D448" s="2289"/>
      <c r="E448" s="2289"/>
      <c r="F448" s="2289"/>
      <c r="G448" s="2290"/>
      <c r="H448" s="2289"/>
      <c r="I448" s="2289"/>
      <c r="J448" s="2290"/>
      <c r="K448" s="2289"/>
      <c r="L448" s="2289"/>
      <c r="M448" s="2290"/>
      <c r="N448" s="2290"/>
      <c r="O448" s="2290"/>
      <c r="P448" s="2290"/>
      <c r="Q448" s="2289"/>
      <c r="R448" s="2289"/>
      <c r="S448" s="2289"/>
      <c r="T448" s="2291"/>
      <c r="U448" s="2289"/>
      <c r="V448" s="2289"/>
      <c r="W448" s="2289"/>
      <c r="X448" s="2292"/>
      <c r="Y448" s="2292"/>
      <c r="Z448" s="2289"/>
      <c r="AA448" s="2289"/>
      <c r="AB448" s="2289"/>
      <c r="AC448" s="2289"/>
      <c r="AD448" s="2293"/>
      <c r="AE448" s="2293"/>
      <c r="AF448" s="2293"/>
      <c r="AG448" s="2293"/>
      <c r="AH448" s="2289"/>
      <c r="AI448" s="2289"/>
      <c r="AJ448" s="2294"/>
      <c r="AK448" s="2294"/>
      <c r="AL448" s="2289"/>
      <c r="AM448" s="2289"/>
      <c r="AN448" s="2289"/>
      <c r="AO448" s="2289"/>
      <c r="AP448" s="2289"/>
      <c r="AQ448" s="2289"/>
      <c r="AR448" s="2294"/>
      <c r="AS448" s="2294"/>
      <c r="AT448" s="2295"/>
      <c r="AU448" s="2295"/>
      <c r="AV448" s="2295"/>
      <c r="AW448" s="2295"/>
      <c r="AX448" s="2296"/>
      <c r="AY448" s="2289"/>
      <c r="AZ448" s="2289"/>
      <c r="BA448" s="2289"/>
      <c r="BB448" s="2289"/>
      <c r="BC448" s="2289"/>
      <c r="BD448" s="2289"/>
      <c r="BE448" s="2289"/>
      <c r="BF448" s="2289"/>
      <c r="BG448" s="2289"/>
      <c r="BH448" s="2289"/>
      <c r="BI448" s="2289"/>
      <c r="BJ448" s="2289"/>
      <c r="BK448" s="2289"/>
      <c r="BL448" s="2289"/>
      <c r="BM448" s="2289"/>
      <c r="BN448" s="2289"/>
      <c r="BO448" s="2289"/>
      <c r="BP448" s="2289"/>
      <c r="BQ448" s="2289"/>
      <c r="BR448" s="2289"/>
    </row>
    <row r="449" spans="1:70" ht="15.75" customHeight="1">
      <c r="A449" s="2289"/>
      <c r="B449" s="2289"/>
      <c r="C449" s="2289"/>
      <c r="D449" s="2289"/>
      <c r="E449" s="2289"/>
      <c r="F449" s="2289"/>
      <c r="G449" s="2290"/>
      <c r="H449" s="2289"/>
      <c r="I449" s="2289"/>
      <c r="J449" s="2290"/>
      <c r="K449" s="2289"/>
      <c r="L449" s="2289"/>
      <c r="M449" s="2290"/>
      <c r="N449" s="2290"/>
      <c r="O449" s="2290"/>
      <c r="P449" s="2290"/>
      <c r="Q449" s="2289"/>
      <c r="R449" s="2289"/>
      <c r="S449" s="2289"/>
      <c r="T449" s="2291"/>
      <c r="U449" s="2289"/>
      <c r="V449" s="2289"/>
      <c r="W449" s="2289"/>
      <c r="X449" s="2292"/>
      <c r="Y449" s="2292"/>
      <c r="Z449" s="2289"/>
      <c r="AA449" s="2289"/>
      <c r="AB449" s="2289"/>
      <c r="AC449" s="2289"/>
      <c r="AD449" s="2293"/>
      <c r="AE449" s="2293"/>
      <c r="AF449" s="2293"/>
      <c r="AG449" s="2293"/>
      <c r="AH449" s="2289"/>
      <c r="AI449" s="2289"/>
      <c r="AJ449" s="2294"/>
      <c r="AK449" s="2294"/>
      <c r="AL449" s="2289"/>
      <c r="AM449" s="2289"/>
      <c r="AN449" s="2289"/>
      <c r="AO449" s="2289"/>
      <c r="AP449" s="2289"/>
      <c r="AQ449" s="2289"/>
      <c r="AR449" s="2294"/>
      <c r="AS449" s="2294"/>
      <c r="AT449" s="2295"/>
      <c r="AU449" s="2295"/>
      <c r="AV449" s="2295"/>
      <c r="AW449" s="2295"/>
      <c r="AX449" s="2296"/>
      <c r="AY449" s="2289"/>
      <c r="AZ449" s="2289"/>
      <c r="BA449" s="2289"/>
      <c r="BB449" s="2289"/>
      <c r="BC449" s="2289"/>
      <c r="BD449" s="2289"/>
      <c r="BE449" s="2289"/>
      <c r="BF449" s="2289"/>
      <c r="BG449" s="2289"/>
      <c r="BH449" s="2289"/>
      <c r="BI449" s="2289"/>
      <c r="BJ449" s="2289"/>
      <c r="BK449" s="2289"/>
      <c r="BL449" s="2289"/>
      <c r="BM449" s="2289"/>
      <c r="BN449" s="2289"/>
      <c r="BO449" s="2289"/>
      <c r="BP449" s="2289"/>
      <c r="BQ449" s="2289"/>
      <c r="BR449" s="2289"/>
    </row>
    <row r="450" spans="1:70" ht="15.75" customHeight="1">
      <c r="A450" s="2289"/>
      <c r="B450" s="2289"/>
      <c r="C450" s="2289"/>
      <c r="D450" s="2289"/>
      <c r="E450" s="2289"/>
      <c r="F450" s="2289"/>
      <c r="G450" s="2290"/>
      <c r="H450" s="2289"/>
      <c r="I450" s="2289"/>
      <c r="J450" s="2290"/>
      <c r="K450" s="2289"/>
      <c r="L450" s="2289"/>
      <c r="M450" s="2290"/>
      <c r="N450" s="2290"/>
      <c r="O450" s="2290"/>
      <c r="P450" s="2290"/>
      <c r="Q450" s="2289"/>
      <c r="R450" s="2289"/>
      <c r="S450" s="2289"/>
      <c r="T450" s="2291"/>
      <c r="U450" s="2289"/>
      <c r="V450" s="2289"/>
      <c r="W450" s="2289"/>
      <c r="X450" s="2292"/>
      <c r="Y450" s="2292"/>
      <c r="Z450" s="2289"/>
      <c r="AA450" s="2289"/>
      <c r="AB450" s="2289"/>
      <c r="AC450" s="2289"/>
      <c r="AD450" s="2293"/>
      <c r="AE450" s="2293"/>
      <c r="AF450" s="2293"/>
      <c r="AG450" s="2293"/>
      <c r="AH450" s="2289"/>
      <c r="AI450" s="2289"/>
      <c r="AJ450" s="2294"/>
      <c r="AK450" s="2294"/>
      <c r="AL450" s="2289"/>
      <c r="AM450" s="2289"/>
      <c r="AN450" s="2289"/>
      <c r="AO450" s="2289"/>
      <c r="AP450" s="2289"/>
      <c r="AQ450" s="2289"/>
      <c r="AR450" s="2294"/>
      <c r="AS450" s="2294"/>
      <c r="AT450" s="2295"/>
      <c r="AU450" s="2295"/>
      <c r="AV450" s="2295"/>
      <c r="AW450" s="2295"/>
      <c r="AX450" s="2296"/>
      <c r="AY450" s="2289"/>
      <c r="AZ450" s="2289"/>
      <c r="BA450" s="2289"/>
      <c r="BB450" s="2289"/>
      <c r="BC450" s="2289"/>
      <c r="BD450" s="2289"/>
      <c r="BE450" s="2289"/>
      <c r="BF450" s="2289"/>
      <c r="BG450" s="2289"/>
      <c r="BH450" s="2289"/>
      <c r="BI450" s="2289"/>
      <c r="BJ450" s="2289"/>
      <c r="BK450" s="2289"/>
      <c r="BL450" s="2289"/>
      <c r="BM450" s="2289"/>
      <c r="BN450" s="2289"/>
      <c r="BO450" s="2289"/>
      <c r="BP450" s="2289"/>
      <c r="BQ450" s="2289"/>
      <c r="BR450" s="2289"/>
    </row>
    <row r="451" spans="1:70" ht="15.75" customHeight="1">
      <c r="A451" s="2289"/>
      <c r="B451" s="2289"/>
      <c r="C451" s="2289"/>
      <c r="D451" s="2289"/>
      <c r="E451" s="2289"/>
      <c r="F451" s="2289"/>
      <c r="G451" s="2290"/>
      <c r="H451" s="2289"/>
      <c r="I451" s="2289"/>
      <c r="J451" s="2290"/>
      <c r="K451" s="2289"/>
      <c r="L451" s="2289"/>
      <c r="M451" s="2290"/>
      <c r="N451" s="2290"/>
      <c r="O451" s="2290"/>
      <c r="P451" s="2290"/>
      <c r="Q451" s="2289"/>
      <c r="R451" s="2289"/>
      <c r="S451" s="2289"/>
      <c r="T451" s="2291"/>
      <c r="U451" s="2289"/>
      <c r="V451" s="2289"/>
      <c r="W451" s="2289"/>
      <c r="X451" s="2292"/>
      <c r="Y451" s="2292"/>
      <c r="Z451" s="2289"/>
      <c r="AA451" s="2289"/>
      <c r="AB451" s="2289"/>
      <c r="AC451" s="2289"/>
      <c r="AD451" s="2293"/>
      <c r="AE451" s="2293"/>
      <c r="AF451" s="2293"/>
      <c r="AG451" s="2293"/>
      <c r="AH451" s="2289"/>
      <c r="AI451" s="2289"/>
      <c r="AJ451" s="2294"/>
      <c r="AK451" s="2294"/>
      <c r="AL451" s="2289"/>
      <c r="AM451" s="2289"/>
      <c r="AN451" s="2289"/>
      <c r="AO451" s="2289"/>
      <c r="AP451" s="2289"/>
      <c r="AQ451" s="2289"/>
      <c r="AR451" s="2294"/>
      <c r="AS451" s="2294"/>
      <c r="AT451" s="2295"/>
      <c r="AU451" s="2295"/>
      <c r="AV451" s="2295"/>
      <c r="AW451" s="2295"/>
      <c r="AX451" s="2296"/>
      <c r="AY451" s="2289"/>
      <c r="AZ451" s="2289"/>
      <c r="BA451" s="2289"/>
      <c r="BB451" s="2289"/>
      <c r="BC451" s="2289"/>
      <c r="BD451" s="2289"/>
      <c r="BE451" s="2289"/>
      <c r="BF451" s="2289"/>
      <c r="BG451" s="2289"/>
      <c r="BH451" s="2289"/>
      <c r="BI451" s="2289"/>
      <c r="BJ451" s="2289"/>
      <c r="BK451" s="2289"/>
      <c r="BL451" s="2289"/>
      <c r="BM451" s="2289"/>
      <c r="BN451" s="2289"/>
      <c r="BO451" s="2289"/>
      <c r="BP451" s="2289"/>
      <c r="BQ451" s="2289"/>
      <c r="BR451" s="2289"/>
    </row>
    <row r="452" spans="1:70" ht="15.75" customHeight="1">
      <c r="A452" s="2289"/>
      <c r="B452" s="2289"/>
      <c r="C452" s="2289"/>
      <c r="D452" s="2289"/>
      <c r="E452" s="2289"/>
      <c r="F452" s="2289"/>
      <c r="G452" s="2290"/>
      <c r="H452" s="2289"/>
      <c r="I452" s="2289"/>
      <c r="J452" s="2290"/>
      <c r="K452" s="2289"/>
      <c r="L452" s="2289"/>
      <c r="M452" s="2290"/>
      <c r="N452" s="2290"/>
      <c r="O452" s="2290"/>
      <c r="P452" s="2290"/>
      <c r="Q452" s="2289"/>
      <c r="R452" s="2289"/>
      <c r="S452" s="2289"/>
      <c r="T452" s="2291"/>
      <c r="U452" s="2289"/>
      <c r="V452" s="2289"/>
      <c r="W452" s="2289"/>
      <c r="X452" s="2292"/>
      <c r="Y452" s="2292"/>
      <c r="Z452" s="2289"/>
      <c r="AA452" s="2289"/>
      <c r="AB452" s="2289"/>
      <c r="AC452" s="2289"/>
      <c r="AD452" s="2293"/>
      <c r="AE452" s="2293"/>
      <c r="AF452" s="2293"/>
      <c r="AG452" s="2293"/>
      <c r="AH452" s="2289"/>
      <c r="AI452" s="2289"/>
      <c r="AJ452" s="2294"/>
      <c r="AK452" s="2294"/>
      <c r="AL452" s="2289"/>
      <c r="AM452" s="2289"/>
      <c r="AN452" s="2289"/>
      <c r="AO452" s="2289"/>
      <c r="AP452" s="2289"/>
      <c r="AQ452" s="2289"/>
      <c r="AR452" s="2294"/>
      <c r="AS452" s="2294"/>
      <c r="AT452" s="2295"/>
      <c r="AU452" s="2295"/>
      <c r="AV452" s="2295"/>
      <c r="AW452" s="2295"/>
      <c r="AX452" s="2296"/>
      <c r="AY452" s="2289"/>
      <c r="AZ452" s="2289"/>
      <c r="BA452" s="2289"/>
      <c r="BB452" s="2289"/>
      <c r="BC452" s="2289"/>
      <c r="BD452" s="2289"/>
      <c r="BE452" s="2289"/>
      <c r="BF452" s="2289"/>
      <c r="BG452" s="2289"/>
      <c r="BH452" s="2289"/>
      <c r="BI452" s="2289"/>
      <c r="BJ452" s="2289"/>
      <c r="BK452" s="2289"/>
      <c r="BL452" s="2289"/>
      <c r="BM452" s="2289"/>
      <c r="BN452" s="2289"/>
      <c r="BO452" s="2289"/>
      <c r="BP452" s="2289"/>
      <c r="BQ452" s="2289"/>
      <c r="BR452" s="2289"/>
    </row>
    <row r="453" spans="1:70" ht="15.75" customHeight="1">
      <c r="A453" s="2289"/>
      <c r="B453" s="2289"/>
      <c r="C453" s="2289"/>
      <c r="D453" s="2289"/>
      <c r="E453" s="2289"/>
      <c r="F453" s="2289"/>
      <c r="G453" s="2290"/>
      <c r="H453" s="2289"/>
      <c r="I453" s="2289"/>
      <c r="J453" s="2290"/>
      <c r="K453" s="2289"/>
      <c r="L453" s="2289"/>
      <c r="M453" s="2290"/>
      <c r="N453" s="2290"/>
      <c r="O453" s="2290"/>
      <c r="P453" s="2290"/>
      <c r="Q453" s="2289"/>
      <c r="R453" s="2289"/>
      <c r="S453" s="2289"/>
      <c r="T453" s="2291"/>
      <c r="U453" s="2289"/>
      <c r="V453" s="2289"/>
      <c r="W453" s="2289"/>
      <c r="X453" s="2292"/>
      <c r="Y453" s="2292"/>
      <c r="Z453" s="2289"/>
      <c r="AA453" s="2289"/>
      <c r="AB453" s="2289"/>
      <c r="AC453" s="2289"/>
      <c r="AD453" s="2293"/>
      <c r="AE453" s="2293"/>
      <c r="AF453" s="2293"/>
      <c r="AG453" s="2293"/>
      <c r="AH453" s="2289"/>
      <c r="AI453" s="2289"/>
      <c r="AJ453" s="2294"/>
      <c r="AK453" s="2294"/>
      <c r="AL453" s="2289"/>
      <c r="AM453" s="2289"/>
      <c r="AN453" s="2289"/>
      <c r="AO453" s="2289"/>
      <c r="AP453" s="2289"/>
      <c r="AQ453" s="2289"/>
      <c r="AR453" s="2294"/>
      <c r="AS453" s="2294"/>
      <c r="AT453" s="2295"/>
      <c r="AU453" s="2295"/>
      <c r="AV453" s="2295"/>
      <c r="AW453" s="2295"/>
      <c r="AX453" s="2296"/>
      <c r="AY453" s="2289"/>
      <c r="AZ453" s="2289"/>
      <c r="BA453" s="2289"/>
      <c r="BB453" s="2289"/>
      <c r="BC453" s="2289"/>
      <c r="BD453" s="2289"/>
      <c r="BE453" s="2289"/>
      <c r="BF453" s="2289"/>
      <c r="BG453" s="2289"/>
      <c r="BH453" s="2289"/>
      <c r="BI453" s="2289"/>
      <c r="BJ453" s="2289"/>
      <c r="BK453" s="2289"/>
      <c r="BL453" s="2289"/>
      <c r="BM453" s="2289"/>
      <c r="BN453" s="2289"/>
      <c r="BO453" s="2289"/>
      <c r="BP453" s="2289"/>
      <c r="BQ453" s="2289"/>
      <c r="BR453" s="2289"/>
    </row>
    <row r="454" spans="1:70" ht="15.75" customHeight="1">
      <c r="A454" s="2289"/>
      <c r="B454" s="2289"/>
      <c r="C454" s="2289"/>
      <c r="D454" s="2289"/>
      <c r="E454" s="2289"/>
      <c r="F454" s="2289"/>
      <c r="G454" s="2290"/>
      <c r="H454" s="2289"/>
      <c r="I454" s="2289"/>
      <c r="J454" s="2290"/>
      <c r="K454" s="2289"/>
      <c r="L454" s="2289"/>
      <c r="M454" s="2290"/>
      <c r="N454" s="2290"/>
      <c r="O454" s="2290"/>
      <c r="P454" s="2290"/>
      <c r="Q454" s="2289"/>
      <c r="R454" s="2289"/>
      <c r="S454" s="2289"/>
      <c r="T454" s="2291"/>
      <c r="U454" s="2289"/>
      <c r="V454" s="2289"/>
      <c r="W454" s="2289"/>
      <c r="X454" s="2292"/>
      <c r="Y454" s="2292"/>
      <c r="Z454" s="2289"/>
      <c r="AA454" s="2289"/>
      <c r="AB454" s="2289"/>
      <c r="AC454" s="2289"/>
      <c r="AD454" s="2293"/>
      <c r="AE454" s="2293"/>
      <c r="AF454" s="2293"/>
      <c r="AG454" s="2293"/>
      <c r="AH454" s="2289"/>
      <c r="AI454" s="2289"/>
      <c r="AJ454" s="2294"/>
      <c r="AK454" s="2294"/>
      <c r="AL454" s="2289"/>
      <c r="AM454" s="2289"/>
      <c r="AN454" s="2289"/>
      <c r="AO454" s="2289"/>
      <c r="AP454" s="2289"/>
      <c r="AQ454" s="2289"/>
      <c r="AR454" s="2294"/>
      <c r="AS454" s="2294"/>
      <c r="AT454" s="2295"/>
      <c r="AU454" s="2295"/>
      <c r="AV454" s="2295"/>
      <c r="AW454" s="2295"/>
      <c r="AX454" s="2296"/>
      <c r="AY454" s="2289"/>
      <c r="AZ454" s="2289"/>
      <c r="BA454" s="2289"/>
      <c r="BB454" s="2289"/>
      <c r="BC454" s="2289"/>
      <c r="BD454" s="2289"/>
      <c r="BE454" s="2289"/>
      <c r="BF454" s="2289"/>
      <c r="BG454" s="2289"/>
      <c r="BH454" s="2289"/>
      <c r="BI454" s="2289"/>
      <c r="BJ454" s="2289"/>
      <c r="BK454" s="2289"/>
      <c r="BL454" s="2289"/>
      <c r="BM454" s="2289"/>
      <c r="BN454" s="2289"/>
      <c r="BO454" s="2289"/>
      <c r="BP454" s="2289"/>
      <c r="BQ454" s="2289"/>
      <c r="BR454" s="2289"/>
    </row>
    <row r="455" spans="1:70" ht="15.75" customHeight="1">
      <c r="A455" s="2289"/>
      <c r="B455" s="2289"/>
      <c r="C455" s="2289"/>
      <c r="D455" s="2289"/>
      <c r="E455" s="2289"/>
      <c r="F455" s="2289"/>
      <c r="G455" s="2290"/>
      <c r="H455" s="2289"/>
      <c r="I455" s="2289"/>
      <c r="J455" s="2290"/>
      <c r="K455" s="2289"/>
      <c r="L455" s="2289"/>
      <c r="M455" s="2290"/>
      <c r="N455" s="2290"/>
      <c r="O455" s="2290"/>
      <c r="P455" s="2290"/>
      <c r="Q455" s="2289"/>
      <c r="R455" s="2289"/>
      <c r="S455" s="2289"/>
      <c r="T455" s="2291"/>
      <c r="U455" s="2289"/>
      <c r="V455" s="2289"/>
      <c r="W455" s="2289"/>
      <c r="X455" s="2292"/>
      <c r="Y455" s="2292"/>
      <c r="Z455" s="2289"/>
      <c r="AA455" s="2289"/>
      <c r="AB455" s="2289"/>
      <c r="AC455" s="2289"/>
      <c r="AD455" s="2293"/>
      <c r="AE455" s="2293"/>
      <c r="AF455" s="2293"/>
      <c r="AG455" s="2293"/>
      <c r="AH455" s="2289"/>
      <c r="AI455" s="2289"/>
      <c r="AJ455" s="2294"/>
      <c r="AK455" s="2294"/>
      <c r="AL455" s="2289"/>
      <c r="AM455" s="2289"/>
      <c r="AN455" s="2289"/>
      <c r="AO455" s="2289"/>
      <c r="AP455" s="2289"/>
      <c r="AQ455" s="2289"/>
      <c r="AR455" s="2294"/>
      <c r="AS455" s="2294"/>
      <c r="AT455" s="2295"/>
      <c r="AU455" s="2295"/>
      <c r="AV455" s="2295"/>
      <c r="AW455" s="2295"/>
      <c r="AX455" s="2296"/>
      <c r="AY455" s="2289"/>
      <c r="AZ455" s="2289"/>
      <c r="BA455" s="2289"/>
      <c r="BB455" s="2289"/>
      <c r="BC455" s="2289"/>
      <c r="BD455" s="2289"/>
      <c r="BE455" s="2289"/>
      <c r="BF455" s="2289"/>
      <c r="BG455" s="2289"/>
      <c r="BH455" s="2289"/>
      <c r="BI455" s="2289"/>
      <c r="BJ455" s="2289"/>
      <c r="BK455" s="2289"/>
      <c r="BL455" s="2289"/>
      <c r="BM455" s="2289"/>
      <c r="BN455" s="2289"/>
      <c r="BO455" s="2289"/>
      <c r="BP455" s="2289"/>
      <c r="BQ455" s="2289"/>
      <c r="BR455" s="2289"/>
    </row>
    <row r="456" spans="1:70" ht="15.75" customHeight="1">
      <c r="A456" s="2289"/>
      <c r="B456" s="2289"/>
      <c r="C456" s="2289"/>
      <c r="D456" s="2289"/>
      <c r="E456" s="2289"/>
      <c r="F456" s="2289"/>
      <c r="G456" s="2290"/>
      <c r="H456" s="2289"/>
      <c r="I456" s="2289"/>
      <c r="J456" s="2290"/>
      <c r="K456" s="2289"/>
      <c r="L456" s="2289"/>
      <c r="M456" s="2290"/>
      <c r="N456" s="2290"/>
      <c r="O456" s="2290"/>
      <c r="P456" s="2290"/>
      <c r="Q456" s="2289"/>
      <c r="R456" s="2289"/>
      <c r="S456" s="2289"/>
      <c r="T456" s="2291"/>
      <c r="U456" s="2289"/>
      <c r="V456" s="2289"/>
      <c r="W456" s="2289"/>
      <c r="X456" s="2292"/>
      <c r="Y456" s="2292"/>
      <c r="Z456" s="2289"/>
      <c r="AA456" s="2289"/>
      <c r="AB456" s="2289"/>
      <c r="AC456" s="2289"/>
      <c r="AD456" s="2293"/>
      <c r="AE456" s="2293"/>
      <c r="AF456" s="2293"/>
      <c r="AG456" s="2293"/>
      <c r="AH456" s="2289"/>
      <c r="AI456" s="2289"/>
      <c r="AJ456" s="2294"/>
      <c r="AK456" s="2294"/>
      <c r="AL456" s="2289"/>
      <c r="AM456" s="2289"/>
      <c r="AN456" s="2289"/>
      <c r="AO456" s="2289"/>
      <c r="AP456" s="2289"/>
      <c r="AQ456" s="2289"/>
      <c r="AR456" s="2294"/>
      <c r="AS456" s="2294"/>
      <c r="AT456" s="2295"/>
      <c r="AU456" s="2295"/>
      <c r="AV456" s="2295"/>
      <c r="AW456" s="2295"/>
      <c r="AX456" s="2296"/>
      <c r="AY456" s="2289"/>
      <c r="AZ456" s="2289"/>
      <c r="BA456" s="2289"/>
      <c r="BB456" s="2289"/>
      <c r="BC456" s="2289"/>
      <c r="BD456" s="2289"/>
      <c r="BE456" s="2289"/>
      <c r="BF456" s="2289"/>
      <c r="BG456" s="2289"/>
      <c r="BH456" s="2289"/>
      <c r="BI456" s="2289"/>
      <c r="BJ456" s="2289"/>
      <c r="BK456" s="2289"/>
      <c r="BL456" s="2289"/>
      <c r="BM456" s="2289"/>
      <c r="BN456" s="2289"/>
      <c r="BO456" s="2289"/>
      <c r="BP456" s="2289"/>
      <c r="BQ456" s="2289"/>
      <c r="BR456" s="2289"/>
    </row>
    <row r="457" spans="1:70" ht="15.75" customHeight="1">
      <c r="A457" s="2289"/>
      <c r="B457" s="2289"/>
      <c r="C457" s="2289"/>
      <c r="D457" s="2289"/>
      <c r="E457" s="2289"/>
      <c r="F457" s="2289"/>
      <c r="G457" s="2290"/>
      <c r="H457" s="2289"/>
      <c r="I457" s="2289"/>
      <c r="J457" s="2290"/>
      <c r="K457" s="2289"/>
      <c r="L457" s="2289"/>
      <c r="M457" s="2290"/>
      <c r="N457" s="2290"/>
      <c r="O457" s="2290"/>
      <c r="P457" s="2290"/>
      <c r="Q457" s="2289"/>
      <c r="R457" s="2289"/>
      <c r="S457" s="2289"/>
      <c r="T457" s="2291"/>
      <c r="U457" s="2289"/>
      <c r="V457" s="2289"/>
      <c r="W457" s="2289"/>
      <c r="X457" s="2292"/>
      <c r="Y457" s="2292"/>
      <c r="Z457" s="2289"/>
      <c r="AA457" s="2289"/>
      <c r="AB457" s="2289"/>
      <c r="AC457" s="2289"/>
      <c r="AD457" s="2293"/>
      <c r="AE457" s="2293"/>
      <c r="AF457" s="2293"/>
      <c r="AG457" s="2293"/>
      <c r="AH457" s="2289"/>
      <c r="AI457" s="2289"/>
      <c r="AJ457" s="2294"/>
      <c r="AK457" s="2294"/>
      <c r="AL457" s="2289"/>
      <c r="AM457" s="2289"/>
      <c r="AN457" s="2289"/>
      <c r="AO457" s="2289"/>
      <c r="AP457" s="2289"/>
      <c r="AQ457" s="2289"/>
      <c r="AR457" s="2294"/>
      <c r="AS457" s="2294"/>
      <c r="AT457" s="2295"/>
      <c r="AU457" s="2295"/>
      <c r="AV457" s="2295"/>
      <c r="AW457" s="2295"/>
      <c r="AX457" s="2296"/>
      <c r="AY457" s="2289"/>
      <c r="AZ457" s="2289"/>
      <c r="BA457" s="2289"/>
      <c r="BB457" s="2289"/>
      <c r="BC457" s="2289"/>
      <c r="BD457" s="2289"/>
      <c r="BE457" s="2289"/>
      <c r="BF457" s="2289"/>
      <c r="BG457" s="2289"/>
      <c r="BH457" s="2289"/>
      <c r="BI457" s="2289"/>
      <c r="BJ457" s="2289"/>
      <c r="BK457" s="2289"/>
      <c r="BL457" s="2289"/>
      <c r="BM457" s="2289"/>
      <c r="BN457" s="2289"/>
      <c r="BO457" s="2289"/>
      <c r="BP457" s="2289"/>
      <c r="BQ457" s="2289"/>
      <c r="BR457" s="2289"/>
    </row>
    <row r="458" spans="1:70" ht="15.75" customHeight="1">
      <c r="A458" s="2289"/>
      <c r="B458" s="2289"/>
      <c r="C458" s="2289"/>
      <c r="D458" s="2289"/>
      <c r="E458" s="2289"/>
      <c r="F458" s="2289"/>
      <c r="G458" s="2290"/>
      <c r="H458" s="2289"/>
      <c r="I458" s="2289"/>
      <c r="J458" s="2290"/>
      <c r="K458" s="2289"/>
      <c r="L458" s="2289"/>
      <c r="M458" s="2290"/>
      <c r="N458" s="2290"/>
      <c r="O458" s="2290"/>
      <c r="P458" s="2290"/>
      <c r="Q458" s="2289"/>
      <c r="R458" s="2289"/>
      <c r="S458" s="2289"/>
      <c r="T458" s="2291"/>
      <c r="U458" s="2289"/>
      <c r="V458" s="2289"/>
      <c r="W458" s="2289"/>
      <c r="X458" s="2292"/>
      <c r="Y458" s="2292"/>
      <c r="Z458" s="2289"/>
      <c r="AA458" s="2289"/>
      <c r="AB458" s="2289"/>
      <c r="AC458" s="2289"/>
      <c r="AD458" s="2293"/>
      <c r="AE458" s="2293"/>
      <c r="AF458" s="2293"/>
      <c r="AG458" s="2293"/>
      <c r="AH458" s="2289"/>
      <c r="AI458" s="2289"/>
      <c r="AJ458" s="2294"/>
      <c r="AK458" s="2294"/>
      <c r="AL458" s="2289"/>
      <c r="AM458" s="2289"/>
      <c r="AN458" s="2289"/>
      <c r="AO458" s="2289"/>
      <c r="AP458" s="2289"/>
      <c r="AQ458" s="2289"/>
      <c r="AR458" s="2294"/>
      <c r="AS458" s="2294"/>
      <c r="AT458" s="2295"/>
      <c r="AU458" s="2295"/>
      <c r="AV458" s="2295"/>
      <c r="AW458" s="2295"/>
      <c r="AX458" s="2296"/>
      <c r="AY458" s="2289"/>
      <c r="AZ458" s="2289"/>
      <c r="BA458" s="2289"/>
      <c r="BB458" s="2289"/>
      <c r="BC458" s="2289"/>
      <c r="BD458" s="2289"/>
      <c r="BE458" s="2289"/>
      <c r="BF458" s="2289"/>
      <c r="BG458" s="2289"/>
      <c r="BH458" s="2289"/>
      <c r="BI458" s="2289"/>
      <c r="BJ458" s="2289"/>
      <c r="BK458" s="2289"/>
      <c r="BL458" s="2289"/>
      <c r="BM458" s="2289"/>
      <c r="BN458" s="2289"/>
      <c r="BO458" s="2289"/>
      <c r="BP458" s="2289"/>
      <c r="BQ458" s="2289"/>
      <c r="BR458" s="2289"/>
    </row>
    <row r="459" spans="1:70" ht="15.75" customHeight="1">
      <c r="A459" s="2289"/>
      <c r="B459" s="2289"/>
      <c r="C459" s="2289"/>
      <c r="D459" s="2289"/>
      <c r="E459" s="2289"/>
      <c r="F459" s="2289"/>
      <c r="G459" s="2290"/>
      <c r="H459" s="2289"/>
      <c r="I459" s="2289"/>
      <c r="J459" s="2290"/>
      <c r="K459" s="2289"/>
      <c r="L459" s="2289"/>
      <c r="M459" s="2290"/>
      <c r="N459" s="2290"/>
      <c r="O459" s="2290"/>
      <c r="P459" s="2290"/>
      <c r="Q459" s="2289"/>
      <c r="R459" s="2289"/>
      <c r="S459" s="2289"/>
      <c r="T459" s="2291"/>
      <c r="U459" s="2289"/>
      <c r="V459" s="2289"/>
      <c r="W459" s="2289"/>
      <c r="X459" s="2292"/>
      <c r="Y459" s="2292"/>
      <c r="Z459" s="2289"/>
      <c r="AA459" s="2289"/>
      <c r="AB459" s="2289"/>
      <c r="AC459" s="2289"/>
      <c r="AD459" s="2293"/>
      <c r="AE459" s="2293"/>
      <c r="AF459" s="2293"/>
      <c r="AG459" s="2293"/>
      <c r="AH459" s="2289"/>
      <c r="AI459" s="2289"/>
      <c r="AJ459" s="2294"/>
      <c r="AK459" s="2294"/>
      <c r="AL459" s="2289"/>
      <c r="AM459" s="2289"/>
      <c r="AN459" s="2289"/>
      <c r="AO459" s="2289"/>
      <c r="AP459" s="2289"/>
      <c r="AQ459" s="2289"/>
      <c r="AR459" s="2294"/>
      <c r="AS459" s="2294"/>
      <c r="AT459" s="2295"/>
      <c r="AU459" s="2295"/>
      <c r="AV459" s="2295"/>
      <c r="AW459" s="2295"/>
      <c r="AX459" s="2296"/>
      <c r="AY459" s="2289"/>
      <c r="AZ459" s="2289"/>
      <c r="BA459" s="2289"/>
      <c r="BB459" s="2289"/>
      <c r="BC459" s="2289"/>
      <c r="BD459" s="2289"/>
      <c r="BE459" s="2289"/>
      <c r="BF459" s="2289"/>
      <c r="BG459" s="2289"/>
      <c r="BH459" s="2289"/>
      <c r="BI459" s="2289"/>
      <c r="BJ459" s="2289"/>
      <c r="BK459" s="2289"/>
      <c r="BL459" s="2289"/>
      <c r="BM459" s="2289"/>
      <c r="BN459" s="2289"/>
      <c r="BO459" s="2289"/>
      <c r="BP459" s="2289"/>
      <c r="BQ459" s="2289"/>
      <c r="BR459" s="2289"/>
    </row>
    <row r="460" spans="1:70" ht="15.75" customHeight="1">
      <c r="A460" s="2289"/>
      <c r="B460" s="2289"/>
      <c r="C460" s="2289"/>
      <c r="D460" s="2289"/>
      <c r="E460" s="2289"/>
      <c r="F460" s="2289"/>
      <c r="G460" s="2290"/>
      <c r="H460" s="2289"/>
      <c r="I460" s="2289"/>
      <c r="J460" s="2290"/>
      <c r="K460" s="2289"/>
      <c r="L460" s="2289"/>
      <c r="M460" s="2290"/>
      <c r="N460" s="2290"/>
      <c r="O460" s="2290"/>
      <c r="P460" s="2290"/>
      <c r="Q460" s="2289"/>
      <c r="R460" s="2289"/>
      <c r="S460" s="2289"/>
      <c r="T460" s="2291"/>
      <c r="U460" s="2289"/>
      <c r="V460" s="2289"/>
      <c r="W460" s="2289"/>
      <c r="X460" s="2292"/>
      <c r="Y460" s="2292"/>
      <c r="Z460" s="2289"/>
      <c r="AA460" s="2289"/>
      <c r="AB460" s="2289"/>
      <c r="AC460" s="2289"/>
      <c r="AD460" s="2293"/>
      <c r="AE460" s="2293"/>
      <c r="AF460" s="2293"/>
      <c r="AG460" s="2293"/>
      <c r="AH460" s="2289"/>
      <c r="AI460" s="2289"/>
      <c r="AJ460" s="2294"/>
      <c r="AK460" s="2294"/>
      <c r="AL460" s="2289"/>
      <c r="AM460" s="2289"/>
      <c r="AN460" s="2289"/>
      <c r="AO460" s="2289"/>
      <c r="AP460" s="2289"/>
      <c r="AQ460" s="2289"/>
      <c r="AR460" s="2294"/>
      <c r="AS460" s="2294"/>
      <c r="AT460" s="2295"/>
      <c r="AU460" s="2295"/>
      <c r="AV460" s="2295"/>
      <c r="AW460" s="2295"/>
      <c r="AX460" s="2296"/>
      <c r="AY460" s="2289"/>
      <c r="AZ460" s="2289"/>
      <c r="BA460" s="2289"/>
      <c r="BB460" s="2289"/>
      <c r="BC460" s="2289"/>
      <c r="BD460" s="2289"/>
      <c r="BE460" s="2289"/>
      <c r="BF460" s="2289"/>
      <c r="BG460" s="2289"/>
      <c r="BH460" s="2289"/>
      <c r="BI460" s="2289"/>
      <c r="BJ460" s="2289"/>
      <c r="BK460" s="2289"/>
      <c r="BL460" s="2289"/>
      <c r="BM460" s="2289"/>
      <c r="BN460" s="2289"/>
      <c r="BO460" s="2289"/>
      <c r="BP460" s="2289"/>
      <c r="BQ460" s="2289"/>
      <c r="BR460" s="2289"/>
    </row>
    <row r="461" spans="1:70" ht="15.75" customHeight="1">
      <c r="A461" s="2289"/>
      <c r="B461" s="2289"/>
      <c r="C461" s="2289"/>
      <c r="D461" s="2289"/>
      <c r="E461" s="2289"/>
      <c r="F461" s="2289"/>
      <c r="G461" s="2290"/>
      <c r="H461" s="2289"/>
      <c r="I461" s="2289"/>
      <c r="J461" s="2290"/>
      <c r="K461" s="2289"/>
      <c r="L461" s="2289"/>
      <c r="M461" s="2290"/>
      <c r="N461" s="2290"/>
      <c r="O461" s="2290"/>
      <c r="P461" s="2290"/>
      <c r="Q461" s="2289"/>
      <c r="R461" s="2289"/>
      <c r="S461" s="2289"/>
      <c r="T461" s="2291"/>
      <c r="U461" s="2289"/>
      <c r="V461" s="2289"/>
      <c r="W461" s="2289"/>
      <c r="X461" s="2292"/>
      <c r="Y461" s="2292"/>
      <c r="Z461" s="2289"/>
      <c r="AA461" s="2289"/>
      <c r="AB461" s="2289"/>
      <c r="AC461" s="2289"/>
      <c r="AD461" s="2293"/>
      <c r="AE461" s="2293"/>
      <c r="AF461" s="2293"/>
      <c r="AG461" s="2293"/>
      <c r="AH461" s="2289"/>
      <c r="AI461" s="2289"/>
      <c r="AJ461" s="2294"/>
      <c r="AK461" s="2294"/>
      <c r="AL461" s="2289"/>
      <c r="AM461" s="2289"/>
      <c r="AN461" s="2289"/>
      <c r="AO461" s="2289"/>
      <c r="AP461" s="2289"/>
      <c r="AQ461" s="2289"/>
      <c r="AR461" s="2294"/>
      <c r="AS461" s="2294"/>
      <c r="AT461" s="2295"/>
      <c r="AU461" s="2295"/>
      <c r="AV461" s="2295"/>
      <c r="AW461" s="2295"/>
      <c r="AX461" s="2296"/>
      <c r="AY461" s="2289"/>
      <c r="AZ461" s="2289"/>
      <c r="BA461" s="2289"/>
      <c r="BB461" s="2289"/>
      <c r="BC461" s="2289"/>
      <c r="BD461" s="2289"/>
      <c r="BE461" s="2289"/>
      <c r="BF461" s="2289"/>
      <c r="BG461" s="2289"/>
      <c r="BH461" s="2289"/>
      <c r="BI461" s="2289"/>
      <c r="BJ461" s="2289"/>
      <c r="BK461" s="2289"/>
      <c r="BL461" s="2289"/>
      <c r="BM461" s="2289"/>
      <c r="BN461" s="2289"/>
      <c r="BO461" s="2289"/>
      <c r="BP461" s="2289"/>
      <c r="BQ461" s="2289"/>
      <c r="BR461" s="2289"/>
    </row>
    <row r="462" spans="1:70" ht="15.75" customHeight="1">
      <c r="A462" s="2289"/>
      <c r="B462" s="2289"/>
      <c r="C462" s="2289"/>
      <c r="D462" s="2289"/>
      <c r="E462" s="2289"/>
      <c r="F462" s="2289"/>
      <c r="G462" s="2290"/>
      <c r="H462" s="2289"/>
      <c r="I462" s="2289"/>
      <c r="J462" s="2290"/>
      <c r="K462" s="2289"/>
      <c r="L462" s="2289"/>
      <c r="M462" s="2290"/>
      <c r="N462" s="2290"/>
      <c r="O462" s="2290"/>
      <c r="P462" s="2290"/>
      <c r="Q462" s="2289"/>
      <c r="R462" s="2289"/>
      <c r="S462" s="2289"/>
      <c r="T462" s="2291"/>
      <c r="U462" s="2289"/>
      <c r="V462" s="2289"/>
      <c r="W462" s="2289"/>
      <c r="X462" s="2292"/>
      <c r="Y462" s="2292"/>
      <c r="Z462" s="2289"/>
      <c r="AA462" s="2289"/>
      <c r="AB462" s="2289"/>
      <c r="AC462" s="2289"/>
      <c r="AD462" s="2293"/>
      <c r="AE462" s="2293"/>
      <c r="AF462" s="2293"/>
      <c r="AG462" s="2293"/>
      <c r="AH462" s="2289"/>
      <c r="AI462" s="2289"/>
      <c r="AJ462" s="2294"/>
      <c r="AK462" s="2294"/>
      <c r="AL462" s="2289"/>
      <c r="AM462" s="2289"/>
      <c r="AN462" s="2289"/>
      <c r="AO462" s="2289"/>
      <c r="AP462" s="2289"/>
      <c r="AQ462" s="2289"/>
      <c r="AR462" s="2294"/>
      <c r="AS462" s="2294"/>
      <c r="AT462" s="2295"/>
      <c r="AU462" s="2295"/>
      <c r="AV462" s="2295"/>
      <c r="AW462" s="2295"/>
      <c r="AX462" s="2296"/>
      <c r="AY462" s="2289"/>
      <c r="AZ462" s="2289"/>
      <c r="BA462" s="2289"/>
      <c r="BB462" s="2289"/>
      <c r="BC462" s="2289"/>
      <c r="BD462" s="2289"/>
      <c r="BE462" s="2289"/>
      <c r="BF462" s="2289"/>
      <c r="BG462" s="2289"/>
      <c r="BH462" s="2289"/>
      <c r="BI462" s="2289"/>
      <c r="BJ462" s="2289"/>
      <c r="BK462" s="2289"/>
      <c r="BL462" s="2289"/>
      <c r="BM462" s="2289"/>
      <c r="BN462" s="2289"/>
      <c r="BO462" s="2289"/>
      <c r="BP462" s="2289"/>
      <c r="BQ462" s="2289"/>
      <c r="BR462" s="2289"/>
    </row>
    <row r="463" spans="1:70" ht="15.75" customHeight="1">
      <c r="A463" s="2289"/>
      <c r="B463" s="2289"/>
      <c r="C463" s="2289"/>
      <c r="D463" s="2289"/>
      <c r="E463" s="2289"/>
      <c r="F463" s="2289"/>
      <c r="G463" s="2290"/>
      <c r="H463" s="2289"/>
      <c r="I463" s="2289"/>
      <c r="J463" s="2290"/>
      <c r="K463" s="2289"/>
      <c r="L463" s="2289"/>
      <c r="M463" s="2290"/>
      <c r="N463" s="2290"/>
      <c r="O463" s="2290"/>
      <c r="P463" s="2290"/>
      <c r="Q463" s="2289"/>
      <c r="R463" s="2289"/>
      <c r="S463" s="2289"/>
      <c r="T463" s="2291"/>
      <c r="U463" s="2289"/>
      <c r="V463" s="2289"/>
      <c r="W463" s="2289"/>
      <c r="X463" s="2292"/>
      <c r="Y463" s="2292"/>
      <c r="Z463" s="2289"/>
      <c r="AA463" s="2289"/>
      <c r="AB463" s="2289"/>
      <c r="AC463" s="2289"/>
      <c r="AD463" s="2293"/>
      <c r="AE463" s="2293"/>
      <c r="AF463" s="2293"/>
      <c r="AG463" s="2293"/>
      <c r="AH463" s="2289"/>
      <c r="AI463" s="2289"/>
      <c r="AJ463" s="2294"/>
      <c r="AK463" s="2294"/>
      <c r="AL463" s="2289"/>
      <c r="AM463" s="2289"/>
      <c r="AN463" s="2289"/>
      <c r="AO463" s="2289"/>
      <c r="AP463" s="2289"/>
      <c r="AQ463" s="2289"/>
      <c r="AR463" s="2294"/>
      <c r="AS463" s="2294"/>
      <c r="AT463" s="2295"/>
      <c r="AU463" s="2295"/>
      <c r="AV463" s="2295"/>
      <c r="AW463" s="2295"/>
      <c r="AX463" s="2296"/>
      <c r="AY463" s="2289"/>
      <c r="AZ463" s="2289"/>
      <c r="BA463" s="2289"/>
      <c r="BB463" s="2289"/>
      <c r="BC463" s="2289"/>
      <c r="BD463" s="2289"/>
      <c r="BE463" s="2289"/>
      <c r="BF463" s="2289"/>
      <c r="BG463" s="2289"/>
      <c r="BH463" s="2289"/>
      <c r="BI463" s="2289"/>
      <c r="BJ463" s="2289"/>
      <c r="BK463" s="2289"/>
      <c r="BL463" s="2289"/>
      <c r="BM463" s="2289"/>
      <c r="BN463" s="2289"/>
      <c r="BO463" s="2289"/>
      <c r="BP463" s="2289"/>
      <c r="BQ463" s="2289"/>
      <c r="BR463" s="2289"/>
    </row>
    <row r="464" spans="1:70" ht="15.75" customHeight="1">
      <c r="A464" s="2289"/>
      <c r="B464" s="2289"/>
      <c r="C464" s="2289"/>
      <c r="D464" s="2289"/>
      <c r="E464" s="2289"/>
      <c r="F464" s="2289"/>
      <c r="G464" s="2290"/>
      <c r="H464" s="2289"/>
      <c r="I464" s="2289"/>
      <c r="J464" s="2290"/>
      <c r="K464" s="2289"/>
      <c r="L464" s="2289"/>
      <c r="M464" s="2290"/>
      <c r="N464" s="2290"/>
      <c r="O464" s="2290"/>
      <c r="P464" s="2290"/>
      <c r="Q464" s="2289"/>
      <c r="R464" s="2289"/>
      <c r="S464" s="2289"/>
      <c r="T464" s="2291"/>
      <c r="U464" s="2289"/>
      <c r="V464" s="2289"/>
      <c r="W464" s="2289"/>
      <c r="X464" s="2292"/>
      <c r="Y464" s="2292"/>
      <c r="Z464" s="2289"/>
      <c r="AA464" s="2289"/>
      <c r="AB464" s="2289"/>
      <c r="AC464" s="2289"/>
      <c r="AD464" s="2293"/>
      <c r="AE464" s="2293"/>
      <c r="AF464" s="2293"/>
      <c r="AG464" s="2293"/>
      <c r="AH464" s="2289"/>
      <c r="AI464" s="2289"/>
      <c r="AJ464" s="2294"/>
      <c r="AK464" s="2294"/>
      <c r="AL464" s="2289"/>
      <c r="AM464" s="2289"/>
      <c r="AN464" s="2289"/>
      <c r="AO464" s="2289"/>
      <c r="AP464" s="2289"/>
      <c r="AQ464" s="2289"/>
      <c r="AR464" s="2294"/>
      <c r="AS464" s="2294"/>
      <c r="AT464" s="2295"/>
      <c r="AU464" s="2295"/>
      <c r="AV464" s="2295"/>
      <c r="AW464" s="2295"/>
      <c r="AX464" s="2296"/>
      <c r="AY464" s="2289"/>
      <c r="AZ464" s="2289"/>
      <c r="BA464" s="2289"/>
      <c r="BB464" s="2289"/>
      <c r="BC464" s="2289"/>
      <c r="BD464" s="2289"/>
      <c r="BE464" s="2289"/>
      <c r="BF464" s="2289"/>
      <c r="BG464" s="2289"/>
      <c r="BH464" s="2289"/>
      <c r="BI464" s="2289"/>
      <c r="BJ464" s="2289"/>
      <c r="BK464" s="2289"/>
      <c r="BL464" s="2289"/>
      <c r="BM464" s="2289"/>
      <c r="BN464" s="2289"/>
      <c r="BO464" s="2289"/>
      <c r="BP464" s="2289"/>
      <c r="BQ464" s="2289"/>
      <c r="BR464" s="2289"/>
    </row>
    <row r="465" spans="1:70" ht="15.75" customHeight="1">
      <c r="A465" s="2289"/>
      <c r="B465" s="2289"/>
      <c r="C465" s="2289"/>
      <c r="D465" s="2289"/>
      <c r="E465" s="2289"/>
      <c r="F465" s="2289"/>
      <c r="G465" s="2290"/>
      <c r="H465" s="2289"/>
      <c r="I465" s="2289"/>
      <c r="J465" s="2290"/>
      <c r="K465" s="2289"/>
      <c r="L465" s="2289"/>
      <c r="M465" s="2290"/>
      <c r="N465" s="2290"/>
      <c r="O465" s="2290"/>
      <c r="P465" s="2290"/>
      <c r="Q465" s="2289"/>
      <c r="R465" s="2289"/>
      <c r="S465" s="2289"/>
      <c r="T465" s="2291"/>
      <c r="U465" s="2289"/>
      <c r="V465" s="2289"/>
      <c r="W465" s="2289"/>
      <c r="X465" s="2292"/>
      <c r="Y465" s="2292"/>
      <c r="Z465" s="2289"/>
      <c r="AA465" s="2289"/>
      <c r="AB465" s="2289"/>
      <c r="AC465" s="2289"/>
      <c r="AD465" s="2293"/>
      <c r="AE465" s="2293"/>
      <c r="AF465" s="2293"/>
      <c r="AG465" s="2293"/>
      <c r="AH465" s="2289"/>
      <c r="AI465" s="2289"/>
      <c r="AJ465" s="2294"/>
      <c r="AK465" s="2294"/>
      <c r="AL465" s="2289"/>
      <c r="AM465" s="2289"/>
      <c r="AN465" s="2289"/>
      <c r="AO465" s="2289"/>
      <c r="AP465" s="2289"/>
      <c r="AQ465" s="2289"/>
      <c r="AR465" s="2294"/>
      <c r="AS465" s="2294"/>
      <c r="AT465" s="2295"/>
      <c r="AU465" s="2295"/>
      <c r="AV465" s="2295"/>
      <c r="AW465" s="2295"/>
      <c r="AX465" s="2296"/>
      <c r="AY465" s="2289"/>
      <c r="AZ465" s="2289"/>
      <c r="BA465" s="2289"/>
      <c r="BB465" s="2289"/>
      <c r="BC465" s="2289"/>
      <c r="BD465" s="2289"/>
      <c r="BE465" s="2289"/>
      <c r="BF465" s="2289"/>
      <c r="BG465" s="2289"/>
      <c r="BH465" s="2289"/>
      <c r="BI465" s="2289"/>
      <c r="BJ465" s="2289"/>
      <c r="BK465" s="2289"/>
      <c r="BL465" s="2289"/>
      <c r="BM465" s="2289"/>
      <c r="BN465" s="2289"/>
      <c r="BO465" s="2289"/>
      <c r="BP465" s="2289"/>
      <c r="BQ465" s="2289"/>
      <c r="BR465" s="2289"/>
    </row>
    <row r="466" spans="1:70" ht="15.75" customHeight="1">
      <c r="A466" s="2289"/>
      <c r="B466" s="2289"/>
      <c r="C466" s="2289"/>
      <c r="D466" s="2289"/>
      <c r="E466" s="2289"/>
      <c r="F466" s="2289"/>
      <c r="G466" s="2290"/>
      <c r="H466" s="2289"/>
      <c r="I466" s="2289"/>
      <c r="J466" s="2290"/>
      <c r="K466" s="2289"/>
      <c r="L466" s="2289"/>
      <c r="M466" s="2290"/>
      <c r="N466" s="2290"/>
      <c r="O466" s="2290"/>
      <c r="P466" s="2290"/>
      <c r="Q466" s="2289"/>
      <c r="R466" s="2289"/>
      <c r="S466" s="2289"/>
      <c r="T466" s="2291"/>
      <c r="U466" s="2289"/>
      <c r="V466" s="2289"/>
      <c r="W466" s="2289"/>
      <c r="X466" s="2292"/>
      <c r="Y466" s="2292"/>
      <c r="Z466" s="2289"/>
      <c r="AA466" s="2289"/>
      <c r="AB466" s="2289"/>
      <c r="AC466" s="2289"/>
      <c r="AD466" s="2293"/>
      <c r="AE466" s="2293"/>
      <c r="AF466" s="2293"/>
      <c r="AG466" s="2293"/>
      <c r="AH466" s="2289"/>
      <c r="AI466" s="2289"/>
      <c r="AJ466" s="2294"/>
      <c r="AK466" s="2294"/>
      <c r="AL466" s="2289"/>
      <c r="AM466" s="2289"/>
      <c r="AN466" s="2289"/>
      <c r="AO466" s="2289"/>
      <c r="AP466" s="2289"/>
      <c r="AQ466" s="2289"/>
      <c r="AR466" s="2294"/>
      <c r="AS466" s="2294"/>
      <c r="AT466" s="2295"/>
      <c r="AU466" s="2295"/>
      <c r="AV466" s="2295"/>
      <c r="AW466" s="2295"/>
      <c r="AX466" s="2296"/>
      <c r="AY466" s="2289"/>
      <c r="AZ466" s="2289"/>
      <c r="BA466" s="2289"/>
      <c r="BB466" s="2289"/>
      <c r="BC466" s="2289"/>
      <c r="BD466" s="2289"/>
      <c r="BE466" s="2289"/>
      <c r="BF466" s="2289"/>
      <c r="BG466" s="2289"/>
      <c r="BH466" s="2289"/>
      <c r="BI466" s="2289"/>
      <c r="BJ466" s="2289"/>
      <c r="BK466" s="2289"/>
      <c r="BL466" s="2289"/>
      <c r="BM466" s="2289"/>
      <c r="BN466" s="2289"/>
      <c r="BO466" s="2289"/>
      <c r="BP466" s="2289"/>
      <c r="BQ466" s="2289"/>
      <c r="BR466" s="2289"/>
    </row>
    <row r="467" spans="1:70" ht="15.75" customHeight="1">
      <c r="A467" s="2289"/>
      <c r="B467" s="2289"/>
      <c r="C467" s="2289"/>
      <c r="D467" s="2289"/>
      <c r="E467" s="2289"/>
      <c r="F467" s="2289"/>
      <c r="G467" s="2290"/>
      <c r="H467" s="2289"/>
      <c r="I467" s="2289"/>
      <c r="J467" s="2290"/>
      <c r="K467" s="2289"/>
      <c r="L467" s="2289"/>
      <c r="M467" s="2290"/>
      <c r="N467" s="2290"/>
      <c r="O467" s="2290"/>
      <c r="P467" s="2290"/>
      <c r="Q467" s="2289"/>
      <c r="R467" s="2289"/>
      <c r="S467" s="2289"/>
      <c r="T467" s="2291"/>
      <c r="U467" s="2289"/>
      <c r="V467" s="2289"/>
      <c r="W467" s="2289"/>
      <c r="X467" s="2292"/>
      <c r="Y467" s="2292"/>
      <c r="Z467" s="2289"/>
      <c r="AA467" s="2289"/>
      <c r="AB467" s="2289"/>
      <c r="AC467" s="2289"/>
      <c r="AD467" s="2293"/>
      <c r="AE467" s="2293"/>
      <c r="AF467" s="2293"/>
      <c r="AG467" s="2293"/>
      <c r="AH467" s="2289"/>
      <c r="AI467" s="2289"/>
      <c r="AJ467" s="2294"/>
      <c r="AK467" s="2294"/>
      <c r="AL467" s="2289"/>
      <c r="AM467" s="2289"/>
      <c r="AN467" s="2289"/>
      <c r="AO467" s="2289"/>
      <c r="AP467" s="2289"/>
      <c r="AQ467" s="2289"/>
      <c r="AR467" s="2294"/>
      <c r="AS467" s="2294"/>
      <c r="AT467" s="2295"/>
      <c r="AU467" s="2295"/>
      <c r="AV467" s="2295"/>
      <c r="AW467" s="2295"/>
      <c r="AX467" s="2296"/>
      <c r="AY467" s="2289"/>
      <c r="AZ467" s="2289"/>
      <c r="BA467" s="2289"/>
      <c r="BB467" s="2289"/>
      <c r="BC467" s="2289"/>
      <c r="BD467" s="2289"/>
      <c r="BE467" s="2289"/>
      <c r="BF467" s="2289"/>
      <c r="BG467" s="2289"/>
      <c r="BH467" s="2289"/>
      <c r="BI467" s="2289"/>
      <c r="BJ467" s="2289"/>
      <c r="BK467" s="2289"/>
      <c r="BL467" s="2289"/>
      <c r="BM467" s="2289"/>
      <c r="BN467" s="2289"/>
      <c r="BO467" s="2289"/>
      <c r="BP467" s="2289"/>
      <c r="BQ467" s="2289"/>
      <c r="BR467" s="2289"/>
    </row>
    <row r="468" spans="1:70" ht="15.75" customHeight="1">
      <c r="A468" s="2289"/>
      <c r="B468" s="2289"/>
      <c r="C468" s="2289"/>
      <c r="D468" s="2289"/>
      <c r="E468" s="2289"/>
      <c r="F468" s="2289"/>
      <c r="G468" s="2290"/>
      <c r="H468" s="2289"/>
      <c r="I468" s="2289"/>
      <c r="J468" s="2290"/>
      <c r="K468" s="2289"/>
      <c r="L468" s="2289"/>
      <c r="M468" s="2290"/>
      <c r="N468" s="2290"/>
      <c r="O468" s="2290"/>
      <c r="P468" s="2290"/>
      <c r="Q468" s="2289"/>
      <c r="R468" s="2289"/>
      <c r="S468" s="2289"/>
      <c r="T468" s="2291"/>
      <c r="U468" s="2289"/>
      <c r="V468" s="2289"/>
      <c r="W468" s="2289"/>
      <c r="X468" s="2292"/>
      <c r="Y468" s="2292"/>
      <c r="Z468" s="2289"/>
      <c r="AA468" s="2289"/>
      <c r="AB468" s="2289"/>
      <c r="AC468" s="2289"/>
      <c r="AD468" s="2293"/>
      <c r="AE468" s="2293"/>
      <c r="AF468" s="2293"/>
      <c r="AG468" s="2293"/>
      <c r="AH468" s="2289"/>
      <c r="AI468" s="2289"/>
      <c r="AJ468" s="2294"/>
      <c r="AK468" s="2294"/>
      <c r="AL468" s="2289"/>
      <c r="AM468" s="2289"/>
      <c r="AN468" s="2289"/>
      <c r="AO468" s="2289"/>
      <c r="AP468" s="2289"/>
      <c r="AQ468" s="2289"/>
      <c r="AR468" s="2294"/>
      <c r="AS468" s="2294"/>
      <c r="AT468" s="2295"/>
      <c r="AU468" s="2295"/>
      <c r="AV468" s="2295"/>
      <c r="AW468" s="2295"/>
      <c r="AX468" s="2296"/>
      <c r="AY468" s="2289"/>
      <c r="AZ468" s="2289"/>
      <c r="BA468" s="2289"/>
      <c r="BB468" s="2289"/>
      <c r="BC468" s="2289"/>
      <c r="BD468" s="2289"/>
      <c r="BE468" s="2289"/>
      <c r="BF468" s="2289"/>
      <c r="BG468" s="2289"/>
      <c r="BH468" s="2289"/>
      <c r="BI468" s="2289"/>
      <c r="BJ468" s="2289"/>
      <c r="BK468" s="2289"/>
      <c r="BL468" s="2289"/>
      <c r="BM468" s="2289"/>
      <c r="BN468" s="2289"/>
      <c r="BO468" s="2289"/>
      <c r="BP468" s="2289"/>
      <c r="BQ468" s="2289"/>
      <c r="BR468" s="2289"/>
    </row>
    <row r="469" spans="1:70" ht="15.75" customHeight="1">
      <c r="A469" s="2289"/>
      <c r="B469" s="2289"/>
      <c r="C469" s="2289"/>
      <c r="D469" s="2289"/>
      <c r="E469" s="2289"/>
      <c r="F469" s="2289"/>
      <c r="G469" s="2290"/>
      <c r="H469" s="2289"/>
      <c r="I469" s="2289"/>
      <c r="J469" s="2290"/>
      <c r="K469" s="2289"/>
      <c r="L469" s="2289"/>
      <c r="M469" s="2290"/>
      <c r="N469" s="2290"/>
      <c r="O469" s="2290"/>
      <c r="P469" s="2290"/>
      <c r="Q469" s="2289"/>
      <c r="R469" s="2289"/>
      <c r="S469" s="2289"/>
      <c r="T469" s="2291"/>
      <c r="U469" s="2289"/>
      <c r="V469" s="2289"/>
      <c r="W469" s="2289"/>
      <c r="X469" s="2292"/>
      <c r="Y469" s="2292"/>
      <c r="Z469" s="2289"/>
      <c r="AA469" s="2289"/>
      <c r="AB469" s="2289"/>
      <c r="AC469" s="2289"/>
      <c r="AD469" s="2293"/>
      <c r="AE469" s="2293"/>
      <c r="AF469" s="2293"/>
      <c r="AG469" s="2293"/>
      <c r="AH469" s="2289"/>
      <c r="AI469" s="2289"/>
      <c r="AJ469" s="2294"/>
      <c r="AK469" s="2294"/>
      <c r="AL469" s="2289"/>
      <c r="AM469" s="2289"/>
      <c r="AN469" s="2289"/>
      <c r="AO469" s="2289"/>
      <c r="AP469" s="2289"/>
      <c r="AQ469" s="2289"/>
      <c r="AR469" s="2294"/>
      <c r="AS469" s="2294"/>
      <c r="AT469" s="2295"/>
      <c r="AU469" s="2295"/>
      <c r="AV469" s="2295"/>
      <c r="AW469" s="2295"/>
      <c r="AX469" s="2296"/>
      <c r="AY469" s="2289"/>
      <c r="AZ469" s="2289"/>
      <c r="BA469" s="2289"/>
      <c r="BB469" s="2289"/>
      <c r="BC469" s="2289"/>
      <c r="BD469" s="2289"/>
      <c r="BE469" s="2289"/>
      <c r="BF469" s="2289"/>
      <c r="BG469" s="2289"/>
      <c r="BH469" s="2289"/>
      <c r="BI469" s="2289"/>
      <c r="BJ469" s="2289"/>
      <c r="BK469" s="2289"/>
      <c r="BL469" s="2289"/>
      <c r="BM469" s="2289"/>
      <c r="BN469" s="2289"/>
      <c r="BO469" s="2289"/>
      <c r="BP469" s="2289"/>
      <c r="BQ469" s="2289"/>
      <c r="BR469" s="2289"/>
    </row>
    <row r="470" spans="1:70" ht="15.75" customHeight="1">
      <c r="A470" s="2289"/>
      <c r="B470" s="2289"/>
      <c r="C470" s="2289"/>
      <c r="D470" s="2289"/>
      <c r="E470" s="2289"/>
      <c r="F470" s="2289"/>
      <c r="G470" s="2290"/>
      <c r="H470" s="2289"/>
      <c r="I470" s="2289"/>
      <c r="J470" s="2290"/>
      <c r="K470" s="2289"/>
      <c r="L470" s="2289"/>
      <c r="M470" s="2290"/>
      <c r="N470" s="2290"/>
      <c r="O470" s="2290"/>
      <c r="P470" s="2290"/>
      <c r="Q470" s="2289"/>
      <c r="R470" s="2289"/>
      <c r="S470" s="2289"/>
      <c r="T470" s="2291"/>
      <c r="U470" s="2289"/>
      <c r="V470" s="2289"/>
      <c r="W470" s="2289"/>
      <c r="X470" s="2292"/>
      <c r="Y470" s="2292"/>
      <c r="Z470" s="2289"/>
      <c r="AA470" s="2289"/>
      <c r="AB470" s="2289"/>
      <c r="AC470" s="2289"/>
      <c r="AD470" s="2293"/>
      <c r="AE470" s="2293"/>
      <c r="AF470" s="2293"/>
      <c r="AG470" s="2293"/>
      <c r="AH470" s="2289"/>
      <c r="AI470" s="2289"/>
      <c r="AJ470" s="2294"/>
      <c r="AK470" s="2294"/>
      <c r="AL470" s="2289"/>
      <c r="AM470" s="2289"/>
      <c r="AN470" s="2289"/>
      <c r="AO470" s="2289"/>
      <c r="AP470" s="2289"/>
      <c r="AQ470" s="2289"/>
      <c r="AR470" s="2294"/>
      <c r="AS470" s="2294"/>
      <c r="AT470" s="2295"/>
      <c r="AU470" s="2295"/>
      <c r="AV470" s="2295"/>
      <c r="AW470" s="2295"/>
      <c r="AX470" s="2296"/>
      <c r="AY470" s="2289"/>
      <c r="AZ470" s="2289"/>
      <c r="BA470" s="2289"/>
      <c r="BB470" s="2289"/>
      <c r="BC470" s="2289"/>
      <c r="BD470" s="2289"/>
      <c r="BE470" s="2289"/>
      <c r="BF470" s="2289"/>
      <c r="BG470" s="2289"/>
      <c r="BH470" s="2289"/>
      <c r="BI470" s="2289"/>
      <c r="BJ470" s="2289"/>
      <c r="BK470" s="2289"/>
      <c r="BL470" s="2289"/>
      <c r="BM470" s="2289"/>
      <c r="BN470" s="2289"/>
      <c r="BO470" s="2289"/>
      <c r="BP470" s="2289"/>
      <c r="BQ470" s="2289"/>
      <c r="BR470" s="2289"/>
    </row>
    <row r="471" spans="1:70" ht="15.75" customHeight="1">
      <c r="A471" s="2289"/>
      <c r="B471" s="2289"/>
      <c r="C471" s="2289"/>
      <c r="D471" s="2289"/>
      <c r="E471" s="2289"/>
      <c r="F471" s="2289"/>
      <c r="G471" s="2290"/>
      <c r="H471" s="2289"/>
      <c r="I471" s="2289"/>
      <c r="J471" s="2290"/>
      <c r="K471" s="2289"/>
      <c r="L471" s="2289"/>
      <c r="M471" s="2290"/>
      <c r="N471" s="2290"/>
      <c r="O471" s="2290"/>
      <c r="P471" s="2290"/>
      <c r="Q471" s="2289"/>
      <c r="R471" s="2289"/>
      <c r="S471" s="2289"/>
      <c r="T471" s="2291"/>
      <c r="U471" s="2289"/>
      <c r="V471" s="2289"/>
      <c r="W471" s="2289"/>
      <c r="X471" s="2292"/>
      <c r="Y471" s="2292"/>
      <c r="Z471" s="2289"/>
      <c r="AA471" s="2289"/>
      <c r="AB471" s="2289"/>
      <c r="AC471" s="2289"/>
      <c r="AD471" s="2293"/>
      <c r="AE471" s="2293"/>
      <c r="AF471" s="2293"/>
      <c r="AG471" s="2293"/>
      <c r="AH471" s="2289"/>
      <c r="AI471" s="2289"/>
      <c r="AJ471" s="2294"/>
      <c r="AK471" s="2294"/>
      <c r="AL471" s="2289"/>
      <c r="AM471" s="2289"/>
      <c r="AN471" s="2289"/>
      <c r="AO471" s="2289"/>
      <c r="AP471" s="2289"/>
      <c r="AQ471" s="2289"/>
      <c r="AR471" s="2294"/>
      <c r="AS471" s="2294"/>
      <c r="AT471" s="2295"/>
      <c r="AU471" s="2295"/>
      <c r="AV471" s="2295"/>
      <c r="AW471" s="2295"/>
      <c r="AX471" s="2296"/>
      <c r="AY471" s="2289"/>
      <c r="AZ471" s="2289"/>
      <c r="BA471" s="2289"/>
      <c r="BB471" s="2289"/>
      <c r="BC471" s="2289"/>
      <c r="BD471" s="2289"/>
      <c r="BE471" s="2289"/>
      <c r="BF471" s="2289"/>
      <c r="BG471" s="2289"/>
      <c r="BH471" s="2289"/>
      <c r="BI471" s="2289"/>
      <c r="BJ471" s="2289"/>
      <c r="BK471" s="2289"/>
      <c r="BL471" s="2289"/>
      <c r="BM471" s="2289"/>
      <c r="BN471" s="2289"/>
      <c r="BO471" s="2289"/>
      <c r="BP471" s="2289"/>
      <c r="BQ471" s="2289"/>
      <c r="BR471" s="2289"/>
    </row>
    <row r="472" spans="1:70" ht="15.75" customHeight="1">
      <c r="A472" s="2289"/>
      <c r="B472" s="2289"/>
      <c r="C472" s="2289"/>
      <c r="D472" s="2289"/>
      <c r="E472" s="2289"/>
      <c r="F472" s="2289"/>
      <c r="G472" s="2290"/>
      <c r="H472" s="2289"/>
      <c r="I472" s="2289"/>
      <c r="J472" s="2290"/>
      <c r="K472" s="2289"/>
      <c r="L472" s="2289"/>
      <c r="M472" s="2290"/>
      <c r="N472" s="2290"/>
      <c r="O472" s="2290"/>
      <c r="P472" s="2290"/>
      <c r="Q472" s="2289"/>
      <c r="R472" s="2289"/>
      <c r="S472" s="2289"/>
      <c r="T472" s="2291"/>
      <c r="U472" s="2289"/>
      <c r="V472" s="2289"/>
      <c r="W472" s="2289"/>
      <c r="X472" s="2292"/>
      <c r="Y472" s="2292"/>
      <c r="Z472" s="2289"/>
      <c r="AA472" s="2289"/>
      <c r="AB472" s="2289"/>
      <c r="AC472" s="2289"/>
      <c r="AD472" s="2293"/>
      <c r="AE472" s="2293"/>
      <c r="AF472" s="2293"/>
      <c r="AG472" s="2293"/>
      <c r="AH472" s="2289"/>
      <c r="AI472" s="2289"/>
      <c r="AJ472" s="2294"/>
      <c r="AK472" s="2294"/>
      <c r="AL472" s="2289"/>
      <c r="AM472" s="2289"/>
      <c r="AN472" s="2289"/>
      <c r="AO472" s="2289"/>
      <c r="AP472" s="2289"/>
      <c r="AQ472" s="2289"/>
      <c r="AR472" s="2294"/>
      <c r="AS472" s="2294"/>
      <c r="AT472" s="2295"/>
      <c r="AU472" s="2295"/>
      <c r="AV472" s="2295"/>
      <c r="AW472" s="2295"/>
      <c r="AX472" s="2296"/>
      <c r="AY472" s="2289"/>
      <c r="AZ472" s="2289"/>
      <c r="BA472" s="2289"/>
      <c r="BB472" s="2289"/>
      <c r="BC472" s="2289"/>
      <c r="BD472" s="2289"/>
      <c r="BE472" s="2289"/>
      <c r="BF472" s="2289"/>
      <c r="BG472" s="2289"/>
      <c r="BH472" s="2289"/>
      <c r="BI472" s="2289"/>
      <c r="BJ472" s="2289"/>
      <c r="BK472" s="2289"/>
      <c r="BL472" s="2289"/>
      <c r="BM472" s="2289"/>
      <c r="BN472" s="2289"/>
      <c r="BO472" s="2289"/>
      <c r="BP472" s="2289"/>
      <c r="BQ472" s="2289"/>
      <c r="BR472" s="2289"/>
    </row>
    <row r="473" spans="1:70" ht="15.75" customHeight="1">
      <c r="A473" s="2289"/>
      <c r="B473" s="2289"/>
      <c r="C473" s="2289"/>
      <c r="D473" s="2289"/>
      <c r="E473" s="2289"/>
      <c r="F473" s="2289"/>
      <c r="G473" s="2290"/>
      <c r="H473" s="2289"/>
      <c r="I473" s="2289"/>
      <c r="J473" s="2290"/>
      <c r="K473" s="2289"/>
      <c r="L473" s="2289"/>
      <c r="M473" s="2290"/>
      <c r="N473" s="2290"/>
      <c r="O473" s="2290"/>
      <c r="P473" s="2290"/>
      <c r="Q473" s="2289"/>
      <c r="R473" s="2289"/>
      <c r="S473" s="2289"/>
      <c r="T473" s="2291"/>
      <c r="U473" s="2289"/>
      <c r="V473" s="2289"/>
      <c r="W473" s="2289"/>
      <c r="X473" s="2292"/>
      <c r="Y473" s="2292"/>
      <c r="Z473" s="2289"/>
      <c r="AA473" s="2289"/>
      <c r="AB473" s="2289"/>
      <c r="AC473" s="2289"/>
      <c r="AD473" s="2293"/>
      <c r="AE473" s="2293"/>
      <c r="AF473" s="2293"/>
      <c r="AG473" s="2293"/>
      <c r="AH473" s="2289"/>
      <c r="AI473" s="2289"/>
      <c r="AJ473" s="2294"/>
      <c r="AK473" s="2294"/>
      <c r="AL473" s="2289"/>
      <c r="AM473" s="2289"/>
      <c r="AN473" s="2289"/>
      <c r="AO473" s="2289"/>
      <c r="AP473" s="2289"/>
      <c r="AQ473" s="2289"/>
      <c r="AR473" s="2294"/>
      <c r="AS473" s="2294"/>
      <c r="AT473" s="2295"/>
      <c r="AU473" s="2295"/>
      <c r="AV473" s="2295"/>
      <c r="AW473" s="2295"/>
      <c r="AX473" s="2296"/>
      <c r="AY473" s="2289"/>
      <c r="AZ473" s="2289"/>
      <c r="BA473" s="2289"/>
      <c r="BB473" s="2289"/>
      <c r="BC473" s="2289"/>
      <c r="BD473" s="2289"/>
      <c r="BE473" s="2289"/>
      <c r="BF473" s="2289"/>
      <c r="BG473" s="2289"/>
      <c r="BH473" s="2289"/>
      <c r="BI473" s="2289"/>
      <c r="BJ473" s="2289"/>
      <c r="BK473" s="2289"/>
      <c r="BL473" s="2289"/>
      <c r="BM473" s="2289"/>
      <c r="BN473" s="2289"/>
      <c r="BO473" s="2289"/>
      <c r="BP473" s="2289"/>
      <c r="BQ473" s="2289"/>
      <c r="BR473" s="2289"/>
    </row>
    <row r="474" spans="1:70" ht="15.75" customHeight="1">
      <c r="A474" s="2289"/>
      <c r="B474" s="2289"/>
      <c r="C474" s="2289"/>
      <c r="D474" s="2289"/>
      <c r="E474" s="2289"/>
      <c r="F474" s="2289"/>
      <c r="G474" s="2290"/>
      <c r="H474" s="2289"/>
      <c r="I474" s="2289"/>
      <c r="J474" s="2290"/>
      <c r="K474" s="2289"/>
      <c r="L474" s="2289"/>
      <c r="M474" s="2290"/>
      <c r="N474" s="2290"/>
      <c r="O474" s="2290"/>
      <c r="P474" s="2290"/>
      <c r="Q474" s="2289"/>
      <c r="R474" s="2289"/>
      <c r="S474" s="2289"/>
      <c r="T474" s="2291"/>
      <c r="U474" s="2289"/>
      <c r="V474" s="2289"/>
      <c r="W474" s="2289"/>
      <c r="X474" s="2292"/>
      <c r="Y474" s="2292"/>
      <c r="Z474" s="2289"/>
      <c r="AA474" s="2289"/>
      <c r="AB474" s="2289"/>
      <c r="AC474" s="2289"/>
      <c r="AD474" s="2293"/>
      <c r="AE474" s="2293"/>
      <c r="AF474" s="2293"/>
      <c r="AG474" s="2293"/>
      <c r="AH474" s="2289"/>
      <c r="AI474" s="2289"/>
      <c r="AJ474" s="2294"/>
      <c r="AK474" s="2294"/>
      <c r="AL474" s="2289"/>
      <c r="AM474" s="2289"/>
      <c r="AN474" s="2289"/>
      <c r="AO474" s="2289"/>
      <c r="AP474" s="2289"/>
      <c r="AQ474" s="2289"/>
      <c r="AR474" s="2294"/>
      <c r="AS474" s="2294"/>
      <c r="AT474" s="2295"/>
      <c r="AU474" s="2295"/>
      <c r="AV474" s="2295"/>
      <c r="AW474" s="2295"/>
      <c r="AX474" s="2296"/>
      <c r="AY474" s="2289"/>
      <c r="AZ474" s="2289"/>
      <c r="BA474" s="2289"/>
      <c r="BB474" s="2289"/>
      <c r="BC474" s="2289"/>
      <c r="BD474" s="2289"/>
      <c r="BE474" s="2289"/>
      <c r="BF474" s="2289"/>
      <c r="BG474" s="2289"/>
      <c r="BH474" s="2289"/>
      <c r="BI474" s="2289"/>
      <c r="BJ474" s="2289"/>
      <c r="BK474" s="2289"/>
      <c r="BL474" s="2289"/>
      <c r="BM474" s="2289"/>
      <c r="BN474" s="2289"/>
      <c r="BO474" s="2289"/>
      <c r="BP474" s="2289"/>
      <c r="BQ474" s="2289"/>
      <c r="BR474" s="2289"/>
    </row>
    <row r="475" spans="1:70" ht="15.75" customHeight="1">
      <c r="A475" s="2289"/>
      <c r="B475" s="2289"/>
      <c r="C475" s="2289"/>
      <c r="D475" s="2289"/>
      <c r="E475" s="2289"/>
      <c r="F475" s="2289"/>
      <c r="G475" s="2290"/>
      <c r="H475" s="2289"/>
      <c r="I475" s="2289"/>
      <c r="J475" s="2290"/>
      <c r="K475" s="2289"/>
      <c r="L475" s="2289"/>
      <c r="M475" s="2290"/>
      <c r="N475" s="2290"/>
      <c r="O475" s="2290"/>
      <c r="P475" s="2290"/>
      <c r="Q475" s="2289"/>
      <c r="R475" s="2289"/>
      <c r="S475" s="2289"/>
      <c r="T475" s="2291"/>
      <c r="U475" s="2289"/>
      <c r="V475" s="2289"/>
      <c r="W475" s="2289"/>
      <c r="X475" s="2292"/>
      <c r="Y475" s="2292"/>
      <c r="Z475" s="2289"/>
      <c r="AA475" s="2289"/>
      <c r="AB475" s="2289"/>
      <c r="AC475" s="2289"/>
      <c r="AD475" s="2293"/>
      <c r="AE475" s="2293"/>
      <c r="AF475" s="2293"/>
      <c r="AG475" s="2293"/>
      <c r="AH475" s="2289"/>
      <c r="AI475" s="2289"/>
      <c r="AJ475" s="2294"/>
      <c r="AK475" s="2294"/>
      <c r="AL475" s="2289"/>
      <c r="AM475" s="2289"/>
      <c r="AN475" s="2289"/>
      <c r="AO475" s="2289"/>
      <c r="AP475" s="2289"/>
      <c r="AQ475" s="2289"/>
      <c r="AR475" s="2294"/>
      <c r="AS475" s="2294"/>
      <c r="AT475" s="2295"/>
      <c r="AU475" s="2295"/>
      <c r="AV475" s="2295"/>
      <c r="AW475" s="2295"/>
      <c r="AX475" s="2296"/>
      <c r="AY475" s="2289"/>
      <c r="AZ475" s="2289"/>
      <c r="BA475" s="2289"/>
      <c r="BB475" s="2289"/>
      <c r="BC475" s="2289"/>
      <c r="BD475" s="2289"/>
      <c r="BE475" s="2289"/>
      <c r="BF475" s="2289"/>
      <c r="BG475" s="2289"/>
      <c r="BH475" s="2289"/>
      <c r="BI475" s="2289"/>
      <c r="BJ475" s="2289"/>
      <c r="BK475" s="2289"/>
      <c r="BL475" s="2289"/>
      <c r="BM475" s="2289"/>
      <c r="BN475" s="2289"/>
      <c r="BO475" s="2289"/>
      <c r="BP475" s="2289"/>
      <c r="BQ475" s="2289"/>
      <c r="BR475" s="2289"/>
    </row>
    <row r="476" spans="1:70" ht="15.75" customHeight="1">
      <c r="A476" s="2289"/>
      <c r="B476" s="2289"/>
      <c r="C476" s="2289"/>
      <c r="D476" s="2289"/>
      <c r="E476" s="2289"/>
      <c r="F476" s="2289"/>
      <c r="G476" s="2290"/>
      <c r="H476" s="2289"/>
      <c r="I476" s="2289"/>
      <c r="J476" s="2290"/>
      <c r="K476" s="2289"/>
      <c r="L476" s="2289"/>
      <c r="M476" s="2290"/>
      <c r="N476" s="2290"/>
      <c r="O476" s="2290"/>
      <c r="P476" s="2290"/>
      <c r="Q476" s="2289"/>
      <c r="R476" s="2289"/>
      <c r="S476" s="2289"/>
      <c r="T476" s="2291"/>
      <c r="U476" s="2289"/>
      <c r="V476" s="2289"/>
      <c r="W476" s="2289"/>
      <c r="X476" s="2292"/>
      <c r="Y476" s="2292"/>
      <c r="Z476" s="2289"/>
      <c r="AA476" s="2289"/>
      <c r="AB476" s="2289"/>
      <c r="AC476" s="2289"/>
      <c r="AD476" s="2293"/>
      <c r="AE476" s="2293"/>
      <c r="AF476" s="2293"/>
      <c r="AG476" s="2293"/>
      <c r="AH476" s="2289"/>
      <c r="AI476" s="2289"/>
      <c r="AJ476" s="2294"/>
      <c r="AK476" s="2294"/>
      <c r="AL476" s="2289"/>
      <c r="AM476" s="2289"/>
      <c r="AN476" s="2289"/>
      <c r="AO476" s="2289"/>
      <c r="AP476" s="2289"/>
      <c r="AQ476" s="2289"/>
      <c r="AR476" s="2294"/>
      <c r="AS476" s="2294"/>
      <c r="AT476" s="2295"/>
      <c r="AU476" s="2295"/>
      <c r="AV476" s="2295"/>
      <c r="AW476" s="2295"/>
      <c r="AX476" s="2296"/>
      <c r="AY476" s="2289"/>
      <c r="AZ476" s="2289"/>
      <c r="BA476" s="2289"/>
      <c r="BB476" s="2289"/>
      <c r="BC476" s="2289"/>
      <c r="BD476" s="2289"/>
      <c r="BE476" s="2289"/>
      <c r="BF476" s="2289"/>
      <c r="BG476" s="2289"/>
      <c r="BH476" s="2289"/>
      <c r="BI476" s="2289"/>
      <c r="BJ476" s="2289"/>
      <c r="BK476" s="2289"/>
      <c r="BL476" s="2289"/>
      <c r="BM476" s="2289"/>
      <c r="BN476" s="2289"/>
      <c r="BO476" s="2289"/>
      <c r="BP476" s="2289"/>
      <c r="BQ476" s="2289"/>
      <c r="BR476" s="2289"/>
    </row>
    <row r="477" spans="1:70" ht="15.75" customHeight="1">
      <c r="A477" s="2289"/>
      <c r="B477" s="2289"/>
      <c r="C477" s="2289"/>
      <c r="D477" s="2289"/>
      <c r="E477" s="2289"/>
      <c r="F477" s="2289"/>
      <c r="G477" s="2290"/>
      <c r="H477" s="2289"/>
      <c r="I477" s="2289"/>
      <c r="J477" s="2290"/>
      <c r="K477" s="2289"/>
      <c r="L477" s="2289"/>
      <c r="M477" s="2290"/>
      <c r="N477" s="2290"/>
      <c r="O477" s="2290"/>
      <c r="P477" s="2290"/>
      <c r="Q477" s="2289"/>
      <c r="R477" s="2289"/>
      <c r="S477" s="2289"/>
      <c r="T477" s="2291"/>
      <c r="U477" s="2289"/>
      <c r="V477" s="2289"/>
      <c r="W477" s="2289"/>
      <c r="X477" s="2292"/>
      <c r="Y477" s="2292"/>
      <c r="Z477" s="2289"/>
      <c r="AA477" s="2289"/>
      <c r="AB477" s="2289"/>
      <c r="AC477" s="2289"/>
      <c r="AD477" s="2293"/>
      <c r="AE477" s="2293"/>
      <c r="AF477" s="2293"/>
      <c r="AG477" s="2293"/>
      <c r="AH477" s="2289"/>
      <c r="AI477" s="2289"/>
      <c r="AJ477" s="2294"/>
      <c r="AK477" s="2294"/>
      <c r="AL477" s="2289"/>
      <c r="AM477" s="2289"/>
      <c r="AN477" s="2289"/>
      <c r="AO477" s="2289"/>
      <c r="AP477" s="2289"/>
      <c r="AQ477" s="2289"/>
      <c r="AR477" s="2294"/>
      <c r="AS477" s="2294"/>
      <c r="AT477" s="2295"/>
      <c r="AU477" s="2295"/>
      <c r="AV477" s="2295"/>
      <c r="AW477" s="2295"/>
      <c r="AX477" s="2296"/>
      <c r="AY477" s="2289"/>
      <c r="AZ477" s="2289"/>
      <c r="BA477" s="2289"/>
      <c r="BB477" s="2289"/>
      <c r="BC477" s="2289"/>
      <c r="BD477" s="2289"/>
      <c r="BE477" s="2289"/>
      <c r="BF477" s="2289"/>
      <c r="BG477" s="2289"/>
      <c r="BH477" s="2289"/>
      <c r="BI477" s="2289"/>
      <c r="BJ477" s="2289"/>
      <c r="BK477" s="2289"/>
      <c r="BL477" s="2289"/>
      <c r="BM477" s="2289"/>
      <c r="BN477" s="2289"/>
      <c r="BO477" s="2289"/>
      <c r="BP477" s="2289"/>
      <c r="BQ477" s="2289"/>
      <c r="BR477" s="2289"/>
    </row>
    <row r="478" spans="1:70" ht="15.75" customHeight="1">
      <c r="A478" s="2289"/>
      <c r="B478" s="2289"/>
      <c r="C478" s="2289"/>
      <c r="D478" s="2289"/>
      <c r="E478" s="2289"/>
      <c r="F478" s="2289"/>
      <c r="G478" s="2290"/>
      <c r="H478" s="2289"/>
      <c r="I478" s="2289"/>
      <c r="J478" s="2290"/>
      <c r="K478" s="2289"/>
      <c r="L478" s="2289"/>
      <c r="M478" s="2290"/>
      <c r="N478" s="2290"/>
      <c r="O478" s="2290"/>
      <c r="P478" s="2290"/>
      <c r="Q478" s="2289"/>
      <c r="R478" s="2289"/>
      <c r="S478" s="2289"/>
      <c r="T478" s="2291"/>
      <c r="U478" s="2289"/>
      <c r="V478" s="2289"/>
      <c r="W478" s="2289"/>
      <c r="X478" s="2292"/>
      <c r="Y478" s="2292"/>
      <c r="Z478" s="2289"/>
      <c r="AA478" s="2289"/>
      <c r="AB478" s="2289"/>
      <c r="AC478" s="2289"/>
      <c r="AD478" s="2293"/>
      <c r="AE478" s="2293"/>
      <c r="AF478" s="2293"/>
      <c r="AG478" s="2293"/>
      <c r="AH478" s="2289"/>
      <c r="AI478" s="2289"/>
      <c r="AJ478" s="2294"/>
      <c r="AK478" s="2294"/>
      <c r="AL478" s="2289"/>
      <c r="AM478" s="2289"/>
      <c r="AN478" s="2289"/>
      <c r="AO478" s="2289"/>
      <c r="AP478" s="2289"/>
      <c r="AQ478" s="2289"/>
      <c r="AR478" s="2294"/>
      <c r="AS478" s="2294"/>
      <c r="AT478" s="2295"/>
      <c r="AU478" s="2295"/>
      <c r="AV478" s="2295"/>
      <c r="AW478" s="2295"/>
      <c r="AX478" s="2296"/>
      <c r="AY478" s="2289"/>
      <c r="AZ478" s="2289"/>
      <c r="BA478" s="2289"/>
      <c r="BB478" s="2289"/>
      <c r="BC478" s="2289"/>
      <c r="BD478" s="2289"/>
      <c r="BE478" s="2289"/>
      <c r="BF478" s="2289"/>
      <c r="BG478" s="2289"/>
      <c r="BH478" s="2289"/>
      <c r="BI478" s="2289"/>
      <c r="BJ478" s="2289"/>
      <c r="BK478" s="2289"/>
      <c r="BL478" s="2289"/>
      <c r="BM478" s="2289"/>
      <c r="BN478" s="2289"/>
      <c r="BO478" s="2289"/>
      <c r="BP478" s="2289"/>
      <c r="BQ478" s="2289"/>
      <c r="BR478" s="2289"/>
    </row>
    <row r="479" spans="1:70" ht="15.75" customHeight="1">
      <c r="A479" s="2289"/>
      <c r="B479" s="2289"/>
      <c r="C479" s="2289"/>
      <c r="D479" s="2289"/>
      <c r="E479" s="2289"/>
      <c r="F479" s="2289"/>
      <c r="G479" s="2290"/>
      <c r="H479" s="2289"/>
      <c r="I479" s="2289"/>
      <c r="J479" s="2290"/>
      <c r="K479" s="2289"/>
      <c r="L479" s="2289"/>
      <c r="M479" s="2290"/>
      <c r="N479" s="2290"/>
      <c r="O479" s="2290"/>
      <c r="P479" s="2290"/>
      <c r="Q479" s="2289"/>
      <c r="R479" s="2289"/>
      <c r="S479" s="2289"/>
      <c r="T479" s="2291"/>
      <c r="U479" s="2289"/>
      <c r="V479" s="2289"/>
      <c r="W479" s="2289"/>
      <c r="X479" s="2292"/>
      <c r="Y479" s="2292"/>
      <c r="Z479" s="2289"/>
      <c r="AA479" s="2289"/>
      <c r="AB479" s="2289"/>
      <c r="AC479" s="2289"/>
      <c r="AD479" s="2293"/>
      <c r="AE479" s="2293"/>
      <c r="AF479" s="2293"/>
      <c r="AG479" s="2293"/>
      <c r="AH479" s="2289"/>
      <c r="AI479" s="2289"/>
      <c r="AJ479" s="2294"/>
      <c r="AK479" s="2294"/>
      <c r="AL479" s="2289"/>
      <c r="AM479" s="2289"/>
      <c r="AN479" s="2289"/>
      <c r="AO479" s="2289"/>
      <c r="AP479" s="2289"/>
      <c r="AQ479" s="2289"/>
      <c r="AR479" s="2294"/>
      <c r="AS479" s="2294"/>
      <c r="AT479" s="2295"/>
      <c r="AU479" s="2295"/>
      <c r="AV479" s="2295"/>
      <c r="AW479" s="2295"/>
      <c r="AX479" s="2296"/>
      <c r="AY479" s="2289"/>
      <c r="AZ479" s="2289"/>
      <c r="BA479" s="2289"/>
      <c r="BB479" s="2289"/>
      <c r="BC479" s="2289"/>
      <c r="BD479" s="2289"/>
      <c r="BE479" s="2289"/>
      <c r="BF479" s="2289"/>
      <c r="BG479" s="2289"/>
      <c r="BH479" s="2289"/>
      <c r="BI479" s="2289"/>
      <c r="BJ479" s="2289"/>
      <c r="BK479" s="2289"/>
      <c r="BL479" s="2289"/>
      <c r="BM479" s="2289"/>
      <c r="BN479" s="2289"/>
      <c r="BO479" s="2289"/>
      <c r="BP479" s="2289"/>
      <c r="BQ479" s="2289"/>
      <c r="BR479" s="2289"/>
    </row>
    <row r="480" spans="1:70" ht="15.75" customHeight="1">
      <c r="A480" s="2289"/>
      <c r="B480" s="2289"/>
      <c r="C480" s="2289"/>
      <c r="D480" s="2289"/>
      <c r="E480" s="2289"/>
      <c r="F480" s="2289"/>
      <c r="G480" s="2290"/>
      <c r="H480" s="2289"/>
      <c r="I480" s="2289"/>
      <c r="J480" s="2290"/>
      <c r="K480" s="2289"/>
      <c r="L480" s="2289"/>
      <c r="M480" s="2290"/>
      <c r="N480" s="2290"/>
      <c r="O480" s="2290"/>
      <c r="P480" s="2290"/>
      <c r="Q480" s="2289"/>
      <c r="R480" s="2289"/>
      <c r="S480" s="2289"/>
      <c r="T480" s="2291"/>
      <c r="U480" s="2289"/>
      <c r="V480" s="2289"/>
      <c r="W480" s="2289"/>
      <c r="X480" s="2292"/>
      <c r="Y480" s="2292"/>
      <c r="Z480" s="2289"/>
      <c r="AA480" s="2289"/>
      <c r="AB480" s="2289"/>
      <c r="AC480" s="2289"/>
      <c r="AD480" s="2293"/>
      <c r="AE480" s="2293"/>
      <c r="AF480" s="2293"/>
      <c r="AG480" s="2293"/>
      <c r="AH480" s="2289"/>
      <c r="AI480" s="2289"/>
      <c r="AJ480" s="2294"/>
      <c r="AK480" s="2294"/>
      <c r="AL480" s="2289"/>
      <c r="AM480" s="2289"/>
      <c r="AN480" s="2289"/>
      <c r="AO480" s="2289"/>
      <c r="AP480" s="2289"/>
      <c r="AQ480" s="2289"/>
      <c r="AR480" s="2294"/>
      <c r="AS480" s="2294"/>
      <c r="AT480" s="2295"/>
      <c r="AU480" s="2295"/>
      <c r="AV480" s="2295"/>
      <c r="AW480" s="2295"/>
      <c r="AX480" s="2296"/>
      <c r="AY480" s="2289"/>
      <c r="AZ480" s="2289"/>
      <c r="BA480" s="2289"/>
      <c r="BB480" s="2289"/>
      <c r="BC480" s="2289"/>
      <c r="BD480" s="2289"/>
      <c r="BE480" s="2289"/>
      <c r="BF480" s="2289"/>
      <c r="BG480" s="2289"/>
      <c r="BH480" s="2289"/>
      <c r="BI480" s="2289"/>
      <c r="BJ480" s="2289"/>
      <c r="BK480" s="2289"/>
      <c r="BL480" s="2289"/>
      <c r="BM480" s="2289"/>
      <c r="BN480" s="2289"/>
      <c r="BO480" s="2289"/>
      <c r="BP480" s="2289"/>
      <c r="BQ480" s="2289"/>
      <c r="BR480" s="2289"/>
    </row>
    <row r="481" spans="1:70" ht="15.75" customHeight="1">
      <c r="A481" s="2289"/>
      <c r="B481" s="2289"/>
      <c r="C481" s="2289"/>
      <c r="D481" s="2289"/>
      <c r="E481" s="2289"/>
      <c r="F481" s="2289"/>
      <c r="G481" s="2290"/>
      <c r="H481" s="2289"/>
      <c r="I481" s="2289"/>
      <c r="J481" s="2290"/>
      <c r="K481" s="2289"/>
      <c r="L481" s="2289"/>
      <c r="M481" s="2290"/>
      <c r="N481" s="2290"/>
      <c r="O481" s="2290"/>
      <c r="P481" s="2290"/>
      <c r="Q481" s="2289"/>
      <c r="R481" s="2289"/>
      <c r="S481" s="2289"/>
      <c r="T481" s="2291"/>
      <c r="U481" s="2289"/>
      <c r="V481" s="2289"/>
      <c r="W481" s="2289"/>
      <c r="X481" s="2292"/>
      <c r="Y481" s="2292"/>
      <c r="Z481" s="2289"/>
      <c r="AA481" s="2289"/>
      <c r="AB481" s="2289"/>
      <c r="AC481" s="2289"/>
      <c r="AD481" s="2293"/>
      <c r="AE481" s="2293"/>
      <c r="AF481" s="2293"/>
      <c r="AG481" s="2293"/>
      <c r="AH481" s="2289"/>
      <c r="AI481" s="2289"/>
      <c r="AJ481" s="2294"/>
      <c r="AK481" s="2294"/>
      <c r="AL481" s="2289"/>
      <c r="AM481" s="2289"/>
      <c r="AN481" s="2289"/>
      <c r="AO481" s="2289"/>
      <c r="AP481" s="2289"/>
      <c r="AQ481" s="2289"/>
      <c r="AR481" s="2294"/>
      <c r="AS481" s="2294"/>
      <c r="AT481" s="2295"/>
      <c r="AU481" s="2295"/>
      <c r="AV481" s="2295"/>
      <c r="AW481" s="2295"/>
      <c r="AX481" s="2296"/>
      <c r="AY481" s="2289"/>
      <c r="AZ481" s="2289"/>
      <c r="BA481" s="2289"/>
      <c r="BB481" s="2289"/>
      <c r="BC481" s="2289"/>
      <c r="BD481" s="2289"/>
      <c r="BE481" s="2289"/>
      <c r="BF481" s="2289"/>
      <c r="BG481" s="2289"/>
      <c r="BH481" s="2289"/>
      <c r="BI481" s="2289"/>
      <c r="BJ481" s="2289"/>
      <c r="BK481" s="2289"/>
      <c r="BL481" s="2289"/>
      <c r="BM481" s="2289"/>
      <c r="BN481" s="2289"/>
      <c r="BO481" s="2289"/>
      <c r="BP481" s="2289"/>
      <c r="BQ481" s="2289"/>
      <c r="BR481" s="2289"/>
    </row>
    <row r="482" spans="1:70" ht="15.75" customHeight="1">
      <c r="A482" s="2289"/>
      <c r="B482" s="2289"/>
      <c r="C482" s="2289"/>
      <c r="D482" s="2289"/>
      <c r="E482" s="2289"/>
      <c r="F482" s="2289"/>
      <c r="G482" s="2290"/>
      <c r="H482" s="2289"/>
      <c r="I482" s="2289"/>
      <c r="J482" s="2290"/>
      <c r="K482" s="2289"/>
      <c r="L482" s="2289"/>
      <c r="M482" s="2290"/>
      <c r="N482" s="2290"/>
      <c r="O482" s="2290"/>
      <c r="P482" s="2290"/>
      <c r="Q482" s="2289"/>
      <c r="R482" s="2289"/>
      <c r="S482" s="2289"/>
      <c r="T482" s="2291"/>
      <c r="U482" s="2289"/>
      <c r="V482" s="2289"/>
      <c r="W482" s="2289"/>
      <c r="X482" s="2292"/>
      <c r="Y482" s="2292"/>
      <c r="Z482" s="2289"/>
      <c r="AA482" s="2289"/>
      <c r="AB482" s="2289"/>
      <c r="AC482" s="2289"/>
      <c r="AD482" s="2293"/>
      <c r="AE482" s="2293"/>
      <c r="AF482" s="2293"/>
      <c r="AG482" s="2293"/>
      <c r="AH482" s="2289"/>
      <c r="AI482" s="2289"/>
      <c r="AJ482" s="2294"/>
      <c r="AK482" s="2294"/>
      <c r="AL482" s="2289"/>
      <c r="AM482" s="2289"/>
      <c r="AN482" s="2289"/>
      <c r="AO482" s="2289"/>
      <c r="AP482" s="2289"/>
      <c r="AQ482" s="2289"/>
      <c r="AR482" s="2294"/>
      <c r="AS482" s="2294"/>
      <c r="AT482" s="2295"/>
      <c r="AU482" s="2295"/>
      <c r="AV482" s="2295"/>
      <c r="AW482" s="2295"/>
      <c r="AX482" s="2296"/>
      <c r="AY482" s="2289"/>
      <c r="AZ482" s="2289"/>
      <c r="BA482" s="2289"/>
      <c r="BB482" s="2289"/>
      <c r="BC482" s="2289"/>
      <c r="BD482" s="2289"/>
      <c r="BE482" s="2289"/>
      <c r="BF482" s="2289"/>
      <c r="BG482" s="2289"/>
      <c r="BH482" s="2289"/>
      <c r="BI482" s="2289"/>
      <c r="BJ482" s="2289"/>
      <c r="BK482" s="2289"/>
      <c r="BL482" s="2289"/>
      <c r="BM482" s="2289"/>
      <c r="BN482" s="2289"/>
      <c r="BO482" s="2289"/>
      <c r="BP482" s="2289"/>
      <c r="BQ482" s="2289"/>
      <c r="BR482" s="2289"/>
    </row>
    <row r="483" spans="1:70" ht="15.75" customHeight="1">
      <c r="A483" s="2289"/>
      <c r="B483" s="2289"/>
      <c r="C483" s="2289"/>
      <c r="D483" s="2289"/>
      <c r="E483" s="2289"/>
      <c r="F483" s="2289"/>
      <c r="G483" s="2290"/>
      <c r="H483" s="2289"/>
      <c r="I483" s="2289"/>
      <c r="J483" s="2290"/>
      <c r="K483" s="2289"/>
      <c r="L483" s="2289"/>
      <c r="M483" s="2290"/>
      <c r="N483" s="2290"/>
      <c r="O483" s="2290"/>
      <c r="P483" s="2290"/>
      <c r="Q483" s="2289"/>
      <c r="R483" s="2289"/>
      <c r="S483" s="2289"/>
      <c r="T483" s="2291"/>
      <c r="U483" s="2289"/>
      <c r="V483" s="2289"/>
      <c r="W483" s="2289"/>
      <c r="X483" s="2292"/>
      <c r="Y483" s="2292"/>
      <c r="Z483" s="2289"/>
      <c r="AA483" s="2289"/>
      <c r="AB483" s="2289"/>
      <c r="AC483" s="2289"/>
      <c r="AD483" s="2293"/>
      <c r="AE483" s="2293"/>
      <c r="AF483" s="2293"/>
      <c r="AG483" s="2293"/>
      <c r="AH483" s="2289"/>
      <c r="AI483" s="2289"/>
      <c r="AJ483" s="2294"/>
      <c r="AK483" s="2294"/>
      <c r="AL483" s="2289"/>
      <c r="AM483" s="2289"/>
      <c r="AN483" s="2289"/>
      <c r="AO483" s="2289"/>
      <c r="AP483" s="2289"/>
      <c r="AQ483" s="2289"/>
      <c r="AR483" s="2294"/>
      <c r="AS483" s="2294"/>
      <c r="AT483" s="2295"/>
      <c r="AU483" s="2295"/>
      <c r="AV483" s="2295"/>
      <c r="AW483" s="2295"/>
      <c r="AX483" s="2296"/>
      <c r="AY483" s="2289"/>
      <c r="AZ483" s="2289"/>
      <c r="BA483" s="2289"/>
      <c r="BB483" s="2289"/>
      <c r="BC483" s="2289"/>
      <c r="BD483" s="2289"/>
      <c r="BE483" s="2289"/>
      <c r="BF483" s="2289"/>
      <c r="BG483" s="2289"/>
      <c r="BH483" s="2289"/>
      <c r="BI483" s="2289"/>
      <c r="BJ483" s="2289"/>
      <c r="BK483" s="2289"/>
      <c r="BL483" s="2289"/>
      <c r="BM483" s="2289"/>
      <c r="BN483" s="2289"/>
      <c r="BO483" s="2289"/>
      <c r="BP483" s="2289"/>
      <c r="BQ483" s="2289"/>
      <c r="BR483" s="2289"/>
    </row>
    <row r="484" spans="1:70" ht="15.75" customHeight="1">
      <c r="A484" s="2289"/>
      <c r="B484" s="2289"/>
      <c r="C484" s="2289"/>
      <c r="D484" s="2289"/>
      <c r="E484" s="2289"/>
      <c r="F484" s="2289"/>
      <c r="G484" s="2290"/>
      <c r="H484" s="2289"/>
      <c r="I484" s="2289"/>
      <c r="J484" s="2290"/>
      <c r="K484" s="2289"/>
      <c r="L484" s="2289"/>
      <c r="M484" s="2290"/>
      <c r="N484" s="2290"/>
      <c r="O484" s="2290"/>
      <c r="P484" s="2290"/>
      <c r="Q484" s="2289"/>
      <c r="R484" s="2289"/>
      <c r="S484" s="2289"/>
      <c r="T484" s="2291"/>
      <c r="U484" s="2289"/>
      <c r="V484" s="2289"/>
      <c r="W484" s="2289"/>
      <c r="X484" s="2292"/>
      <c r="Y484" s="2292"/>
      <c r="Z484" s="2289"/>
      <c r="AA484" s="2289"/>
      <c r="AB484" s="2289"/>
      <c r="AC484" s="2289"/>
      <c r="AD484" s="2293"/>
      <c r="AE484" s="2293"/>
      <c r="AF484" s="2293"/>
      <c r="AG484" s="2293"/>
      <c r="AH484" s="2289"/>
      <c r="AI484" s="2289"/>
      <c r="AJ484" s="2294"/>
      <c r="AK484" s="2294"/>
      <c r="AL484" s="2289"/>
      <c r="AM484" s="2289"/>
      <c r="AN484" s="2289"/>
      <c r="AO484" s="2289"/>
      <c r="AP484" s="2289"/>
      <c r="AQ484" s="2289"/>
      <c r="AR484" s="2294"/>
      <c r="AS484" s="2294"/>
      <c r="AT484" s="2295"/>
      <c r="AU484" s="2295"/>
      <c r="AV484" s="2295"/>
      <c r="AW484" s="2295"/>
      <c r="AX484" s="2296"/>
      <c r="AY484" s="2289"/>
      <c r="AZ484" s="2289"/>
      <c r="BA484" s="2289"/>
      <c r="BB484" s="2289"/>
      <c r="BC484" s="2289"/>
      <c r="BD484" s="2289"/>
      <c r="BE484" s="2289"/>
      <c r="BF484" s="2289"/>
      <c r="BG484" s="2289"/>
      <c r="BH484" s="2289"/>
      <c r="BI484" s="2289"/>
      <c r="BJ484" s="2289"/>
      <c r="BK484" s="2289"/>
      <c r="BL484" s="2289"/>
      <c r="BM484" s="2289"/>
      <c r="BN484" s="2289"/>
      <c r="BO484" s="2289"/>
      <c r="BP484" s="2289"/>
      <c r="BQ484" s="2289"/>
      <c r="BR484" s="2289"/>
    </row>
    <row r="485" spans="1:70" ht="15.75" customHeight="1">
      <c r="A485" s="2289"/>
      <c r="B485" s="2289"/>
      <c r="C485" s="2289"/>
      <c r="D485" s="2289"/>
      <c r="E485" s="2289"/>
      <c r="F485" s="2289"/>
      <c r="G485" s="2290"/>
      <c r="H485" s="2289"/>
      <c r="I485" s="2289"/>
      <c r="J485" s="2290"/>
      <c r="K485" s="2289"/>
      <c r="L485" s="2289"/>
      <c r="M485" s="2290"/>
      <c r="N485" s="2290"/>
      <c r="O485" s="2290"/>
      <c r="P485" s="2290"/>
      <c r="Q485" s="2289"/>
      <c r="R485" s="2289"/>
      <c r="S485" s="2289"/>
      <c r="T485" s="2291"/>
      <c r="U485" s="2289"/>
      <c r="V485" s="2289"/>
      <c r="W485" s="2289"/>
      <c r="X485" s="2292"/>
      <c r="Y485" s="2292"/>
      <c r="Z485" s="2289"/>
      <c r="AA485" s="2289"/>
      <c r="AB485" s="2289"/>
      <c r="AC485" s="2289"/>
      <c r="AD485" s="2293"/>
      <c r="AE485" s="2293"/>
      <c r="AF485" s="2293"/>
      <c r="AG485" s="2293"/>
      <c r="AH485" s="2289"/>
      <c r="AI485" s="2289"/>
      <c r="AJ485" s="2294"/>
      <c r="AK485" s="2294"/>
      <c r="AL485" s="2289"/>
      <c r="AM485" s="2289"/>
      <c r="AN485" s="2289"/>
      <c r="AO485" s="2289"/>
      <c r="AP485" s="2289"/>
      <c r="AQ485" s="2289"/>
      <c r="AR485" s="2294"/>
      <c r="AS485" s="2294"/>
      <c r="AT485" s="2295"/>
      <c r="AU485" s="2295"/>
      <c r="AV485" s="2295"/>
      <c r="AW485" s="2295"/>
      <c r="AX485" s="2296"/>
      <c r="AY485" s="2289"/>
      <c r="AZ485" s="2289"/>
      <c r="BA485" s="2289"/>
      <c r="BB485" s="2289"/>
      <c r="BC485" s="2289"/>
      <c r="BD485" s="2289"/>
      <c r="BE485" s="2289"/>
      <c r="BF485" s="2289"/>
      <c r="BG485" s="2289"/>
      <c r="BH485" s="2289"/>
      <c r="BI485" s="2289"/>
      <c r="BJ485" s="2289"/>
      <c r="BK485" s="2289"/>
      <c r="BL485" s="2289"/>
      <c r="BM485" s="2289"/>
      <c r="BN485" s="2289"/>
      <c r="BO485" s="2289"/>
      <c r="BP485" s="2289"/>
      <c r="BQ485" s="2289"/>
      <c r="BR485" s="2289"/>
    </row>
    <row r="486" spans="1:70" ht="15.75" customHeight="1">
      <c r="A486" s="2289"/>
      <c r="B486" s="2289"/>
      <c r="C486" s="2289"/>
      <c r="D486" s="2289"/>
      <c r="E486" s="2289"/>
      <c r="F486" s="2289"/>
      <c r="G486" s="2290"/>
      <c r="H486" s="2289"/>
      <c r="I486" s="2289"/>
      <c r="J486" s="2290"/>
      <c r="K486" s="2289"/>
      <c r="L486" s="2289"/>
      <c r="M486" s="2290"/>
      <c r="N486" s="2290"/>
      <c r="O486" s="2290"/>
      <c r="P486" s="2290"/>
      <c r="Q486" s="2289"/>
      <c r="R486" s="2289"/>
      <c r="S486" s="2289"/>
      <c r="T486" s="2291"/>
      <c r="U486" s="2289"/>
      <c r="V486" s="2289"/>
      <c r="W486" s="2289"/>
      <c r="X486" s="2292"/>
      <c r="Y486" s="2292"/>
      <c r="Z486" s="2289"/>
      <c r="AA486" s="2289"/>
      <c r="AB486" s="2289"/>
      <c r="AC486" s="2289"/>
      <c r="AD486" s="2293"/>
      <c r="AE486" s="2293"/>
      <c r="AF486" s="2293"/>
      <c r="AG486" s="2293"/>
      <c r="AH486" s="2289"/>
      <c r="AI486" s="2289"/>
      <c r="AJ486" s="2294"/>
      <c r="AK486" s="2294"/>
      <c r="AL486" s="2289"/>
      <c r="AM486" s="2289"/>
      <c r="AN486" s="2289"/>
      <c r="AO486" s="2289"/>
      <c r="AP486" s="2289"/>
      <c r="AQ486" s="2289"/>
      <c r="AR486" s="2294"/>
      <c r="AS486" s="2294"/>
      <c r="AT486" s="2295"/>
      <c r="AU486" s="2295"/>
      <c r="AV486" s="2295"/>
      <c r="AW486" s="2295"/>
      <c r="AX486" s="2296"/>
      <c r="AY486" s="2289"/>
      <c r="AZ486" s="2289"/>
      <c r="BA486" s="2289"/>
      <c r="BB486" s="2289"/>
      <c r="BC486" s="2289"/>
      <c r="BD486" s="2289"/>
      <c r="BE486" s="2289"/>
      <c r="BF486" s="2289"/>
      <c r="BG486" s="2289"/>
      <c r="BH486" s="2289"/>
      <c r="BI486" s="2289"/>
      <c r="BJ486" s="2289"/>
      <c r="BK486" s="2289"/>
      <c r="BL486" s="2289"/>
      <c r="BM486" s="2289"/>
      <c r="BN486" s="2289"/>
      <c r="BO486" s="2289"/>
      <c r="BP486" s="2289"/>
      <c r="BQ486" s="2289"/>
      <c r="BR486" s="2289"/>
    </row>
    <row r="487" spans="1:70" ht="15.75" customHeight="1">
      <c r="A487" s="2289"/>
      <c r="B487" s="2289"/>
      <c r="C487" s="2289"/>
      <c r="D487" s="2289"/>
      <c r="E487" s="2289"/>
      <c r="F487" s="2289"/>
      <c r="G487" s="2290"/>
      <c r="H487" s="2289"/>
      <c r="I487" s="2289"/>
      <c r="J487" s="2290"/>
      <c r="K487" s="2289"/>
      <c r="L487" s="2289"/>
      <c r="M487" s="2290"/>
      <c r="N487" s="2290"/>
      <c r="O487" s="2290"/>
      <c r="P487" s="2290"/>
      <c r="Q487" s="2289"/>
      <c r="R487" s="2289"/>
      <c r="S487" s="2289"/>
      <c r="T487" s="2291"/>
      <c r="U487" s="2289"/>
      <c r="V487" s="2289"/>
      <c r="W487" s="2289"/>
      <c r="X487" s="2292"/>
      <c r="Y487" s="2292"/>
      <c r="Z487" s="2289"/>
      <c r="AA487" s="2289"/>
      <c r="AB487" s="2289"/>
      <c r="AC487" s="2289"/>
      <c r="AD487" s="2293"/>
      <c r="AE487" s="2293"/>
      <c r="AF487" s="2293"/>
      <c r="AG487" s="2293"/>
      <c r="AH487" s="2289"/>
      <c r="AI487" s="2289"/>
      <c r="AJ487" s="2294"/>
      <c r="AK487" s="2294"/>
      <c r="AL487" s="2289"/>
      <c r="AM487" s="2289"/>
      <c r="AN487" s="2289"/>
      <c r="AO487" s="2289"/>
      <c r="AP487" s="2289"/>
      <c r="AQ487" s="2289"/>
      <c r="AR487" s="2294"/>
      <c r="AS487" s="2294"/>
      <c r="AT487" s="2295"/>
      <c r="AU487" s="2295"/>
      <c r="AV487" s="2295"/>
      <c r="AW487" s="2295"/>
      <c r="AX487" s="2296"/>
      <c r="AY487" s="2289"/>
      <c r="AZ487" s="2289"/>
      <c r="BA487" s="2289"/>
      <c r="BB487" s="2289"/>
      <c r="BC487" s="2289"/>
      <c r="BD487" s="2289"/>
      <c r="BE487" s="2289"/>
      <c r="BF487" s="2289"/>
      <c r="BG487" s="2289"/>
      <c r="BH487" s="2289"/>
      <c r="BI487" s="2289"/>
      <c r="BJ487" s="2289"/>
      <c r="BK487" s="2289"/>
      <c r="BL487" s="2289"/>
      <c r="BM487" s="2289"/>
      <c r="BN487" s="2289"/>
      <c r="BO487" s="2289"/>
      <c r="BP487" s="2289"/>
      <c r="BQ487" s="2289"/>
      <c r="BR487" s="2289"/>
    </row>
    <row r="488" spans="1:70" ht="15.75" customHeight="1">
      <c r="A488" s="2289"/>
      <c r="B488" s="2289"/>
      <c r="C488" s="2289"/>
      <c r="D488" s="2289"/>
      <c r="E488" s="2289"/>
      <c r="F488" s="2289"/>
      <c r="G488" s="2290"/>
      <c r="H488" s="2289"/>
      <c r="I488" s="2289"/>
      <c r="J488" s="2290"/>
      <c r="K488" s="2289"/>
      <c r="L488" s="2289"/>
      <c r="M488" s="2290"/>
      <c r="N488" s="2290"/>
      <c r="O488" s="2290"/>
      <c r="P488" s="2290"/>
      <c r="Q488" s="2289"/>
      <c r="R488" s="2289"/>
      <c r="S488" s="2289"/>
      <c r="T488" s="2291"/>
      <c r="U488" s="2289"/>
      <c r="V488" s="2289"/>
      <c r="W488" s="2289"/>
      <c r="X488" s="2292"/>
      <c r="Y488" s="2292"/>
      <c r="Z488" s="2289"/>
      <c r="AA488" s="2289"/>
      <c r="AB488" s="2289"/>
      <c r="AC488" s="2289"/>
      <c r="AD488" s="2293"/>
      <c r="AE488" s="2293"/>
      <c r="AF488" s="2293"/>
      <c r="AG488" s="2293"/>
      <c r="AH488" s="2289"/>
      <c r="AI488" s="2289"/>
      <c r="AJ488" s="2294"/>
      <c r="AK488" s="2294"/>
      <c r="AL488" s="2289"/>
      <c r="AM488" s="2289"/>
      <c r="AN488" s="2289"/>
      <c r="AO488" s="2289"/>
      <c r="AP488" s="2289"/>
      <c r="AQ488" s="2289"/>
      <c r="AR488" s="2294"/>
      <c r="AS488" s="2294"/>
      <c r="AT488" s="2295"/>
      <c r="AU488" s="2295"/>
      <c r="AV488" s="2295"/>
      <c r="AW488" s="2295"/>
      <c r="AX488" s="2296"/>
      <c r="AY488" s="2289"/>
      <c r="AZ488" s="2289"/>
      <c r="BA488" s="2289"/>
      <c r="BB488" s="2289"/>
      <c r="BC488" s="2289"/>
      <c r="BD488" s="2289"/>
      <c r="BE488" s="2289"/>
      <c r="BF488" s="2289"/>
      <c r="BG488" s="2289"/>
      <c r="BH488" s="2289"/>
      <c r="BI488" s="2289"/>
      <c r="BJ488" s="2289"/>
      <c r="BK488" s="2289"/>
      <c r="BL488" s="2289"/>
      <c r="BM488" s="2289"/>
      <c r="BN488" s="2289"/>
      <c r="BO488" s="2289"/>
      <c r="BP488" s="2289"/>
      <c r="BQ488" s="2289"/>
      <c r="BR488" s="2289"/>
    </row>
    <row r="489" spans="1:70" ht="15.75" customHeight="1">
      <c r="A489" s="2289"/>
      <c r="B489" s="2289"/>
      <c r="C489" s="2289"/>
      <c r="D489" s="2289"/>
      <c r="E489" s="2289"/>
      <c r="F489" s="2289"/>
      <c r="G489" s="2290"/>
      <c r="H489" s="2289"/>
      <c r="I489" s="2289"/>
      <c r="J489" s="2290"/>
      <c r="K489" s="2289"/>
      <c r="L489" s="2289"/>
      <c r="M489" s="2290"/>
      <c r="N489" s="2290"/>
      <c r="O489" s="2290"/>
      <c r="P489" s="2290"/>
      <c r="Q489" s="2289"/>
      <c r="R489" s="2289"/>
      <c r="S489" s="2289"/>
      <c r="T489" s="2291"/>
      <c r="U489" s="2289"/>
      <c r="V489" s="2289"/>
      <c r="W489" s="2289"/>
      <c r="X489" s="2292"/>
      <c r="Y489" s="2292"/>
      <c r="Z489" s="2289"/>
      <c r="AA489" s="2289"/>
      <c r="AB489" s="2289"/>
      <c r="AC489" s="2289"/>
      <c r="AD489" s="2293"/>
      <c r="AE489" s="2293"/>
      <c r="AF489" s="2293"/>
      <c r="AG489" s="2293"/>
      <c r="AH489" s="2289"/>
      <c r="AI489" s="2289"/>
      <c r="AJ489" s="2294"/>
      <c r="AK489" s="2294"/>
      <c r="AL489" s="2289"/>
      <c r="AM489" s="2289"/>
      <c r="AN489" s="2289"/>
      <c r="AO489" s="2289"/>
      <c r="AP489" s="2289"/>
      <c r="AQ489" s="2289"/>
      <c r="AR489" s="2294"/>
      <c r="AS489" s="2294"/>
      <c r="AT489" s="2295"/>
      <c r="AU489" s="2295"/>
      <c r="AV489" s="2295"/>
      <c r="AW489" s="2295"/>
      <c r="AX489" s="2296"/>
      <c r="AY489" s="2289"/>
      <c r="AZ489" s="2289"/>
      <c r="BA489" s="2289"/>
      <c r="BB489" s="2289"/>
      <c r="BC489" s="2289"/>
      <c r="BD489" s="2289"/>
      <c r="BE489" s="2289"/>
      <c r="BF489" s="2289"/>
      <c r="BG489" s="2289"/>
      <c r="BH489" s="2289"/>
      <c r="BI489" s="2289"/>
      <c r="BJ489" s="2289"/>
      <c r="BK489" s="2289"/>
      <c r="BL489" s="2289"/>
      <c r="BM489" s="2289"/>
      <c r="BN489" s="2289"/>
      <c r="BO489" s="2289"/>
      <c r="BP489" s="2289"/>
      <c r="BQ489" s="2289"/>
      <c r="BR489" s="2289"/>
    </row>
    <row r="490" spans="1:70" ht="15.75" customHeight="1">
      <c r="A490" s="2289"/>
      <c r="B490" s="2289"/>
      <c r="C490" s="2289"/>
      <c r="D490" s="2289"/>
      <c r="E490" s="2289"/>
      <c r="F490" s="2289"/>
      <c r="G490" s="2290"/>
      <c r="H490" s="2289"/>
      <c r="I490" s="2289"/>
      <c r="J490" s="2290"/>
      <c r="K490" s="2289"/>
      <c r="L490" s="2289"/>
      <c r="M490" s="2290"/>
      <c r="N490" s="2290"/>
      <c r="O490" s="2290"/>
      <c r="P490" s="2290"/>
      <c r="Q490" s="2289"/>
      <c r="R490" s="2289"/>
      <c r="S490" s="2289"/>
      <c r="T490" s="2291"/>
      <c r="U490" s="2289"/>
      <c r="V490" s="2289"/>
      <c r="W490" s="2289"/>
      <c r="X490" s="2292"/>
      <c r="Y490" s="2292"/>
      <c r="Z490" s="2289"/>
      <c r="AA490" s="2289"/>
      <c r="AB490" s="2289"/>
      <c r="AC490" s="2289"/>
      <c r="AD490" s="2293"/>
      <c r="AE490" s="2293"/>
      <c r="AF490" s="2293"/>
      <c r="AG490" s="2293"/>
      <c r="AH490" s="2289"/>
      <c r="AI490" s="2289"/>
      <c r="AJ490" s="2294"/>
      <c r="AK490" s="2294"/>
      <c r="AL490" s="2289"/>
      <c r="AM490" s="2289"/>
      <c r="AN490" s="2289"/>
      <c r="AO490" s="2289"/>
      <c r="AP490" s="2289"/>
      <c r="AQ490" s="2289"/>
      <c r="AR490" s="2294"/>
      <c r="AS490" s="2294"/>
      <c r="AT490" s="2295"/>
      <c r="AU490" s="2295"/>
      <c r="AV490" s="2295"/>
      <c r="AW490" s="2295"/>
      <c r="AX490" s="2296"/>
      <c r="AY490" s="2289"/>
      <c r="AZ490" s="2289"/>
      <c r="BA490" s="2289"/>
      <c r="BB490" s="2289"/>
      <c r="BC490" s="2289"/>
      <c r="BD490" s="2289"/>
      <c r="BE490" s="2289"/>
      <c r="BF490" s="2289"/>
      <c r="BG490" s="2289"/>
      <c r="BH490" s="2289"/>
      <c r="BI490" s="2289"/>
      <c r="BJ490" s="2289"/>
      <c r="BK490" s="2289"/>
      <c r="BL490" s="2289"/>
      <c r="BM490" s="2289"/>
      <c r="BN490" s="2289"/>
      <c r="BO490" s="2289"/>
      <c r="BP490" s="2289"/>
      <c r="BQ490" s="2289"/>
      <c r="BR490" s="2289"/>
    </row>
    <row r="491" spans="1:70" ht="15.75" customHeight="1">
      <c r="A491" s="2289"/>
      <c r="B491" s="2289"/>
      <c r="C491" s="2289"/>
      <c r="D491" s="2289"/>
      <c r="E491" s="2289"/>
      <c r="F491" s="2289"/>
      <c r="G491" s="2290"/>
      <c r="H491" s="2289"/>
      <c r="I491" s="2289"/>
      <c r="J491" s="2290"/>
      <c r="K491" s="2289"/>
      <c r="L491" s="2289"/>
      <c r="M491" s="2290"/>
      <c r="N491" s="2290"/>
      <c r="O491" s="2290"/>
      <c r="P491" s="2290"/>
      <c r="Q491" s="2289"/>
      <c r="R491" s="2289"/>
      <c r="S491" s="2289"/>
      <c r="T491" s="2291"/>
      <c r="U491" s="2289"/>
      <c r="V491" s="2289"/>
      <c r="W491" s="2289"/>
      <c r="X491" s="2292"/>
      <c r="Y491" s="2292"/>
      <c r="Z491" s="2289"/>
      <c r="AA491" s="2289"/>
      <c r="AB491" s="2289"/>
      <c r="AC491" s="2289"/>
      <c r="AD491" s="2293"/>
      <c r="AE491" s="2293"/>
      <c r="AF491" s="2293"/>
      <c r="AG491" s="2293"/>
      <c r="AH491" s="2289"/>
      <c r="AI491" s="2289"/>
      <c r="AJ491" s="2294"/>
      <c r="AK491" s="2294"/>
      <c r="AL491" s="2289"/>
      <c r="AM491" s="2289"/>
      <c r="AN491" s="2289"/>
      <c r="AO491" s="2289"/>
      <c r="AP491" s="2289"/>
      <c r="AQ491" s="2289"/>
      <c r="AR491" s="2294"/>
      <c r="AS491" s="2294"/>
      <c r="AT491" s="2295"/>
      <c r="AU491" s="2295"/>
      <c r="AV491" s="2295"/>
      <c r="AW491" s="2295"/>
      <c r="AX491" s="2296"/>
      <c r="AY491" s="2289"/>
      <c r="AZ491" s="2289"/>
      <c r="BA491" s="2289"/>
      <c r="BB491" s="2289"/>
      <c r="BC491" s="2289"/>
      <c r="BD491" s="2289"/>
      <c r="BE491" s="2289"/>
      <c r="BF491" s="2289"/>
      <c r="BG491" s="2289"/>
      <c r="BH491" s="2289"/>
      <c r="BI491" s="2289"/>
      <c r="BJ491" s="2289"/>
      <c r="BK491" s="2289"/>
      <c r="BL491" s="2289"/>
      <c r="BM491" s="2289"/>
      <c r="BN491" s="2289"/>
      <c r="BO491" s="2289"/>
      <c r="BP491" s="2289"/>
      <c r="BQ491" s="2289"/>
      <c r="BR491" s="2289"/>
    </row>
    <row r="492" spans="1:70" ht="15.75" customHeight="1">
      <c r="A492" s="2289"/>
      <c r="B492" s="2289"/>
      <c r="C492" s="2289"/>
      <c r="D492" s="2289"/>
      <c r="E492" s="2289"/>
      <c r="F492" s="2289"/>
      <c r="G492" s="2290"/>
      <c r="H492" s="2289"/>
      <c r="I492" s="2289"/>
      <c r="J492" s="2290"/>
      <c r="K492" s="2289"/>
      <c r="L492" s="2289"/>
      <c r="M492" s="2290"/>
      <c r="N492" s="2290"/>
      <c r="O492" s="2290"/>
      <c r="P492" s="2290"/>
      <c r="Q492" s="2289"/>
      <c r="R492" s="2289"/>
      <c r="S492" s="2289"/>
      <c r="T492" s="2291"/>
      <c r="U492" s="2289"/>
      <c r="V492" s="2289"/>
      <c r="W492" s="2289"/>
      <c r="X492" s="2292"/>
      <c r="Y492" s="2292"/>
      <c r="Z492" s="2289"/>
      <c r="AA492" s="2289"/>
      <c r="AB492" s="2289"/>
      <c r="AC492" s="2289"/>
      <c r="AD492" s="2293"/>
      <c r="AE492" s="2293"/>
      <c r="AF492" s="2293"/>
      <c r="AG492" s="2293"/>
      <c r="AH492" s="2289"/>
      <c r="AI492" s="2289"/>
      <c r="AJ492" s="2294"/>
      <c r="AK492" s="2294"/>
      <c r="AL492" s="2289"/>
      <c r="AM492" s="2289"/>
      <c r="AN492" s="2289"/>
      <c r="AO492" s="2289"/>
      <c r="AP492" s="2289"/>
      <c r="AQ492" s="2289"/>
      <c r="AR492" s="2294"/>
      <c r="AS492" s="2294"/>
      <c r="AT492" s="2295"/>
      <c r="AU492" s="2295"/>
      <c r="AV492" s="2295"/>
      <c r="AW492" s="2295"/>
      <c r="AX492" s="2296"/>
      <c r="AY492" s="2289"/>
      <c r="AZ492" s="2289"/>
      <c r="BA492" s="2289"/>
      <c r="BB492" s="2289"/>
      <c r="BC492" s="2289"/>
      <c r="BD492" s="2289"/>
      <c r="BE492" s="2289"/>
      <c r="BF492" s="2289"/>
      <c r="BG492" s="2289"/>
      <c r="BH492" s="2289"/>
      <c r="BI492" s="2289"/>
      <c r="BJ492" s="2289"/>
      <c r="BK492" s="2289"/>
      <c r="BL492" s="2289"/>
      <c r="BM492" s="2289"/>
      <c r="BN492" s="2289"/>
      <c r="BO492" s="2289"/>
      <c r="BP492" s="2289"/>
      <c r="BQ492" s="2289"/>
      <c r="BR492" s="2289"/>
    </row>
    <row r="493" spans="1:70" ht="15.75" customHeight="1">
      <c r="A493" s="2289"/>
      <c r="B493" s="2289"/>
      <c r="C493" s="2289"/>
      <c r="D493" s="2289"/>
      <c r="E493" s="2289"/>
      <c r="F493" s="2289"/>
      <c r="G493" s="2290"/>
      <c r="H493" s="2289"/>
      <c r="I493" s="2289"/>
      <c r="J493" s="2290"/>
      <c r="K493" s="2289"/>
      <c r="L493" s="2289"/>
      <c r="M493" s="2290"/>
      <c r="N493" s="2290"/>
      <c r="O493" s="2290"/>
      <c r="P493" s="2290"/>
      <c r="Q493" s="2289"/>
      <c r="R493" s="2289"/>
      <c r="S493" s="2289"/>
      <c r="T493" s="2291"/>
      <c r="U493" s="2289"/>
      <c r="V493" s="2289"/>
      <c r="W493" s="2289"/>
      <c r="X493" s="2292"/>
      <c r="Y493" s="2292"/>
      <c r="Z493" s="2289"/>
      <c r="AA493" s="2289"/>
      <c r="AB493" s="2289"/>
      <c r="AC493" s="2289"/>
      <c r="AD493" s="2293"/>
      <c r="AE493" s="2293"/>
      <c r="AF493" s="2293"/>
      <c r="AG493" s="2293"/>
      <c r="AH493" s="2289"/>
      <c r="AI493" s="2289"/>
      <c r="AJ493" s="2294"/>
      <c r="AK493" s="2294"/>
      <c r="AL493" s="2289"/>
      <c r="AM493" s="2289"/>
      <c r="AN493" s="2289"/>
      <c r="AO493" s="2289"/>
      <c r="AP493" s="2289"/>
      <c r="AQ493" s="2289"/>
      <c r="AR493" s="2294"/>
      <c r="AS493" s="2294"/>
      <c r="AT493" s="2295"/>
      <c r="AU493" s="2295"/>
      <c r="AV493" s="2295"/>
      <c r="AW493" s="2295"/>
      <c r="AX493" s="2296"/>
      <c r="AY493" s="2289"/>
      <c r="AZ493" s="2289"/>
      <c r="BA493" s="2289"/>
      <c r="BB493" s="2289"/>
      <c r="BC493" s="2289"/>
      <c r="BD493" s="2289"/>
      <c r="BE493" s="2289"/>
      <c r="BF493" s="2289"/>
      <c r="BG493" s="2289"/>
      <c r="BH493" s="2289"/>
      <c r="BI493" s="2289"/>
      <c r="BJ493" s="2289"/>
      <c r="BK493" s="2289"/>
      <c r="BL493" s="2289"/>
      <c r="BM493" s="2289"/>
      <c r="BN493" s="2289"/>
      <c r="BO493" s="2289"/>
      <c r="BP493" s="2289"/>
      <c r="BQ493" s="2289"/>
      <c r="BR493" s="2289"/>
    </row>
    <row r="494" spans="1:70" ht="15.75" customHeight="1">
      <c r="A494" s="2289"/>
      <c r="B494" s="2289"/>
      <c r="C494" s="2289"/>
      <c r="D494" s="2289"/>
      <c r="E494" s="2289"/>
      <c r="F494" s="2289"/>
      <c r="G494" s="2290"/>
      <c r="H494" s="2289"/>
      <c r="I494" s="2289"/>
      <c r="J494" s="2290"/>
      <c r="K494" s="2289"/>
      <c r="L494" s="2289"/>
      <c r="M494" s="2290"/>
      <c r="N494" s="2290"/>
      <c r="O494" s="2290"/>
      <c r="P494" s="2290"/>
      <c r="Q494" s="2289"/>
      <c r="R494" s="2289"/>
      <c r="S494" s="2289"/>
      <c r="T494" s="2291"/>
      <c r="U494" s="2289"/>
      <c r="V494" s="2289"/>
      <c r="W494" s="2289"/>
      <c r="X494" s="2292"/>
      <c r="Y494" s="2292"/>
      <c r="Z494" s="2289"/>
      <c r="AA494" s="2289"/>
      <c r="AB494" s="2289"/>
      <c r="AC494" s="2289"/>
      <c r="AD494" s="2293"/>
      <c r="AE494" s="2293"/>
      <c r="AF494" s="2293"/>
      <c r="AG494" s="2293"/>
      <c r="AH494" s="2289"/>
      <c r="AI494" s="2289"/>
      <c r="AJ494" s="2294"/>
      <c r="AK494" s="2294"/>
      <c r="AL494" s="2289"/>
      <c r="AM494" s="2289"/>
      <c r="AN494" s="2289"/>
      <c r="AO494" s="2289"/>
      <c r="AP494" s="2289"/>
      <c r="AQ494" s="2289"/>
      <c r="AR494" s="2294"/>
      <c r="AS494" s="2294"/>
      <c r="AT494" s="2295"/>
      <c r="AU494" s="2295"/>
      <c r="AV494" s="2295"/>
      <c r="AW494" s="2295"/>
      <c r="AX494" s="2296"/>
      <c r="AY494" s="2289"/>
      <c r="AZ494" s="2289"/>
      <c r="BA494" s="2289"/>
      <c r="BB494" s="2289"/>
      <c r="BC494" s="2289"/>
      <c r="BD494" s="2289"/>
      <c r="BE494" s="2289"/>
      <c r="BF494" s="2289"/>
      <c r="BG494" s="2289"/>
      <c r="BH494" s="2289"/>
      <c r="BI494" s="2289"/>
      <c r="BJ494" s="2289"/>
      <c r="BK494" s="2289"/>
      <c r="BL494" s="2289"/>
      <c r="BM494" s="2289"/>
      <c r="BN494" s="2289"/>
      <c r="BO494" s="2289"/>
      <c r="BP494" s="2289"/>
      <c r="BQ494" s="2289"/>
      <c r="BR494" s="2289"/>
    </row>
    <row r="495" spans="1:70" ht="15.75" customHeight="1">
      <c r="A495" s="2289"/>
      <c r="B495" s="2289"/>
      <c r="C495" s="2289"/>
      <c r="D495" s="2289"/>
      <c r="E495" s="2289"/>
      <c r="F495" s="2289"/>
      <c r="G495" s="2290"/>
      <c r="H495" s="2289"/>
      <c r="I495" s="2289"/>
      <c r="J495" s="2290"/>
      <c r="K495" s="2289"/>
      <c r="L495" s="2289"/>
      <c r="M495" s="2290"/>
      <c r="N495" s="2290"/>
      <c r="O495" s="2290"/>
      <c r="P495" s="2290"/>
      <c r="Q495" s="2289"/>
      <c r="R495" s="2289"/>
      <c r="S495" s="2289"/>
      <c r="T495" s="2291"/>
      <c r="U495" s="2289"/>
      <c r="V495" s="2289"/>
      <c r="W495" s="2289"/>
      <c r="X495" s="2292"/>
      <c r="Y495" s="2292"/>
      <c r="Z495" s="2289"/>
      <c r="AA495" s="2289"/>
      <c r="AB495" s="2289"/>
      <c r="AC495" s="2289"/>
      <c r="AD495" s="2293"/>
      <c r="AE495" s="2293"/>
      <c r="AF495" s="2293"/>
      <c r="AG495" s="2293"/>
      <c r="AH495" s="2289"/>
      <c r="AI495" s="2289"/>
      <c r="AJ495" s="2294"/>
      <c r="AK495" s="2294"/>
      <c r="AL495" s="2289"/>
      <c r="AM495" s="2289"/>
      <c r="AN495" s="2289"/>
      <c r="AO495" s="2289"/>
      <c r="AP495" s="2289"/>
      <c r="AQ495" s="2289"/>
      <c r="AR495" s="2294"/>
      <c r="AS495" s="2294"/>
      <c r="AT495" s="2295"/>
      <c r="AU495" s="2295"/>
      <c r="AV495" s="2295"/>
      <c r="AW495" s="2295"/>
      <c r="AX495" s="2296"/>
      <c r="AY495" s="2289"/>
      <c r="AZ495" s="2289"/>
      <c r="BA495" s="2289"/>
      <c r="BB495" s="2289"/>
      <c r="BC495" s="2289"/>
      <c r="BD495" s="2289"/>
      <c r="BE495" s="2289"/>
      <c r="BF495" s="2289"/>
      <c r="BG495" s="2289"/>
      <c r="BH495" s="2289"/>
      <c r="BI495" s="2289"/>
      <c r="BJ495" s="2289"/>
      <c r="BK495" s="2289"/>
      <c r="BL495" s="2289"/>
      <c r="BM495" s="2289"/>
      <c r="BN495" s="2289"/>
      <c r="BO495" s="2289"/>
      <c r="BP495" s="2289"/>
      <c r="BQ495" s="2289"/>
      <c r="BR495" s="2289"/>
    </row>
    <row r="496" spans="1:70" ht="15.75" customHeight="1">
      <c r="A496" s="2289"/>
      <c r="B496" s="2289"/>
      <c r="C496" s="2289"/>
      <c r="D496" s="2289"/>
      <c r="E496" s="2289"/>
      <c r="F496" s="2289"/>
      <c r="G496" s="2290"/>
      <c r="H496" s="2289"/>
      <c r="I496" s="2289"/>
      <c r="J496" s="2290"/>
      <c r="K496" s="2289"/>
      <c r="L496" s="2289"/>
      <c r="M496" s="2290"/>
      <c r="N496" s="2290"/>
      <c r="O496" s="2290"/>
      <c r="P496" s="2290"/>
      <c r="Q496" s="2289"/>
      <c r="R496" s="2289"/>
      <c r="S496" s="2289"/>
      <c r="T496" s="2291"/>
      <c r="U496" s="2289"/>
      <c r="V496" s="2289"/>
      <c r="W496" s="2289"/>
      <c r="X496" s="2292"/>
      <c r="Y496" s="2292"/>
      <c r="Z496" s="2289"/>
      <c r="AA496" s="2289"/>
      <c r="AB496" s="2289"/>
      <c r="AC496" s="2289"/>
      <c r="AD496" s="2293"/>
      <c r="AE496" s="2293"/>
      <c r="AF496" s="2293"/>
      <c r="AG496" s="2293"/>
      <c r="AH496" s="2289"/>
      <c r="AI496" s="2289"/>
      <c r="AJ496" s="2294"/>
      <c r="AK496" s="2294"/>
      <c r="AL496" s="2289"/>
      <c r="AM496" s="2289"/>
      <c r="AN496" s="2289"/>
      <c r="AO496" s="2289"/>
      <c r="AP496" s="2289"/>
      <c r="AQ496" s="2289"/>
      <c r="AR496" s="2294"/>
      <c r="AS496" s="2294"/>
      <c r="AT496" s="2295"/>
      <c r="AU496" s="2295"/>
      <c r="AV496" s="2295"/>
      <c r="AW496" s="2295"/>
      <c r="AX496" s="2296"/>
      <c r="AY496" s="2289"/>
      <c r="AZ496" s="2289"/>
      <c r="BA496" s="2289"/>
      <c r="BB496" s="2289"/>
      <c r="BC496" s="2289"/>
      <c r="BD496" s="2289"/>
      <c r="BE496" s="2289"/>
      <c r="BF496" s="2289"/>
      <c r="BG496" s="2289"/>
      <c r="BH496" s="2289"/>
      <c r="BI496" s="2289"/>
      <c r="BJ496" s="2289"/>
      <c r="BK496" s="2289"/>
      <c r="BL496" s="2289"/>
      <c r="BM496" s="2289"/>
      <c r="BN496" s="2289"/>
      <c r="BO496" s="2289"/>
      <c r="BP496" s="2289"/>
      <c r="BQ496" s="2289"/>
      <c r="BR496" s="2289"/>
    </row>
    <row r="497" spans="1:70" ht="15.75" customHeight="1">
      <c r="A497" s="2289"/>
      <c r="B497" s="2289"/>
      <c r="C497" s="2289"/>
      <c r="D497" s="2289"/>
      <c r="E497" s="2289"/>
      <c r="F497" s="2289"/>
      <c r="G497" s="2290"/>
      <c r="H497" s="2289"/>
      <c r="I497" s="2289"/>
      <c r="J497" s="2290"/>
      <c r="K497" s="2289"/>
      <c r="L497" s="2289"/>
      <c r="M497" s="2290"/>
      <c r="N497" s="2290"/>
      <c r="O497" s="2290"/>
      <c r="P497" s="2290"/>
      <c r="Q497" s="2289"/>
      <c r="R497" s="2289"/>
      <c r="S497" s="2289"/>
      <c r="T497" s="2291"/>
      <c r="U497" s="2289"/>
      <c r="V497" s="2289"/>
      <c r="W497" s="2289"/>
      <c r="X497" s="2292"/>
      <c r="Y497" s="2292"/>
      <c r="Z497" s="2289"/>
      <c r="AA497" s="2289"/>
      <c r="AB497" s="2289"/>
      <c r="AC497" s="2289"/>
      <c r="AD497" s="2293"/>
      <c r="AE497" s="2293"/>
      <c r="AF497" s="2293"/>
      <c r="AG497" s="2293"/>
      <c r="AH497" s="2289"/>
      <c r="AI497" s="2289"/>
      <c r="AJ497" s="2294"/>
      <c r="AK497" s="2294"/>
      <c r="AL497" s="2289"/>
      <c r="AM497" s="2289"/>
      <c r="AN497" s="2289"/>
      <c r="AO497" s="2289"/>
      <c r="AP497" s="2289"/>
      <c r="AQ497" s="2289"/>
      <c r="AR497" s="2294"/>
      <c r="AS497" s="2294"/>
      <c r="AT497" s="2295"/>
      <c r="AU497" s="2295"/>
      <c r="AV497" s="2295"/>
      <c r="AW497" s="2295"/>
      <c r="AX497" s="2296"/>
      <c r="AY497" s="2289"/>
      <c r="AZ497" s="2289"/>
      <c r="BA497" s="2289"/>
      <c r="BB497" s="2289"/>
      <c r="BC497" s="2289"/>
      <c r="BD497" s="2289"/>
      <c r="BE497" s="2289"/>
      <c r="BF497" s="2289"/>
      <c r="BG497" s="2289"/>
      <c r="BH497" s="2289"/>
      <c r="BI497" s="2289"/>
      <c r="BJ497" s="2289"/>
      <c r="BK497" s="2289"/>
      <c r="BL497" s="2289"/>
      <c r="BM497" s="2289"/>
      <c r="BN497" s="2289"/>
      <c r="BO497" s="2289"/>
      <c r="BP497" s="2289"/>
      <c r="BQ497" s="2289"/>
      <c r="BR497" s="2289"/>
    </row>
    <row r="498" spans="1:70" ht="15.75" customHeight="1">
      <c r="A498" s="2289"/>
      <c r="B498" s="2289"/>
      <c r="C498" s="2289"/>
      <c r="D498" s="2289"/>
      <c r="E498" s="2289"/>
      <c r="F498" s="2289"/>
      <c r="G498" s="2290"/>
      <c r="H498" s="2289"/>
      <c r="I498" s="2289"/>
      <c r="J498" s="2290"/>
      <c r="K498" s="2289"/>
      <c r="L498" s="2289"/>
      <c r="M498" s="2290"/>
      <c r="N498" s="2290"/>
      <c r="O498" s="2290"/>
      <c r="P498" s="2290"/>
      <c r="Q498" s="2289"/>
      <c r="R498" s="2289"/>
      <c r="S498" s="2289"/>
      <c r="T498" s="2291"/>
      <c r="U498" s="2289"/>
      <c r="V498" s="2289"/>
      <c r="W498" s="2289"/>
      <c r="X498" s="2292"/>
      <c r="Y498" s="2292"/>
      <c r="Z498" s="2289"/>
      <c r="AA498" s="2289"/>
      <c r="AB498" s="2289"/>
      <c r="AC498" s="2289"/>
      <c r="AD498" s="2293"/>
      <c r="AE498" s="2293"/>
      <c r="AF498" s="2293"/>
      <c r="AG498" s="2293"/>
      <c r="AH498" s="2289"/>
      <c r="AI498" s="2289"/>
      <c r="AJ498" s="2294"/>
      <c r="AK498" s="2294"/>
      <c r="AL498" s="2289"/>
      <c r="AM498" s="2289"/>
      <c r="AN498" s="2289"/>
      <c r="AO498" s="2289"/>
      <c r="AP498" s="2289"/>
      <c r="AQ498" s="2289"/>
      <c r="AR498" s="2294"/>
      <c r="AS498" s="2294"/>
      <c r="AT498" s="2295"/>
      <c r="AU498" s="2295"/>
      <c r="AV498" s="2295"/>
      <c r="AW498" s="2295"/>
      <c r="AX498" s="2296"/>
      <c r="AY498" s="2289"/>
      <c r="AZ498" s="2289"/>
      <c r="BA498" s="2289"/>
      <c r="BB498" s="2289"/>
      <c r="BC498" s="2289"/>
      <c r="BD498" s="2289"/>
      <c r="BE498" s="2289"/>
      <c r="BF498" s="2289"/>
      <c r="BG498" s="2289"/>
      <c r="BH498" s="2289"/>
      <c r="BI498" s="2289"/>
      <c r="BJ498" s="2289"/>
      <c r="BK498" s="2289"/>
      <c r="BL498" s="2289"/>
      <c r="BM498" s="2289"/>
      <c r="BN498" s="2289"/>
      <c r="BO498" s="2289"/>
      <c r="BP498" s="2289"/>
      <c r="BQ498" s="2289"/>
      <c r="BR498" s="2289"/>
    </row>
    <row r="499" spans="1:70" ht="15.75" customHeight="1">
      <c r="A499" s="2289"/>
      <c r="B499" s="2289"/>
      <c r="C499" s="2289"/>
      <c r="D499" s="2289"/>
      <c r="E499" s="2289"/>
      <c r="F499" s="2289"/>
      <c r="G499" s="2290"/>
      <c r="H499" s="2289"/>
      <c r="I499" s="2289"/>
      <c r="J499" s="2290"/>
      <c r="K499" s="2289"/>
      <c r="L499" s="2289"/>
      <c r="M499" s="2290"/>
      <c r="N499" s="2290"/>
      <c r="O499" s="2290"/>
      <c r="P499" s="2290"/>
      <c r="Q499" s="2289"/>
      <c r="R499" s="2289"/>
      <c r="S499" s="2289"/>
      <c r="T499" s="2291"/>
      <c r="U499" s="2289"/>
      <c r="V499" s="2289"/>
      <c r="W499" s="2289"/>
      <c r="X499" s="2292"/>
      <c r="Y499" s="2292"/>
      <c r="Z499" s="2289"/>
      <c r="AA499" s="2289"/>
      <c r="AB499" s="2289"/>
      <c r="AC499" s="2289"/>
      <c r="AD499" s="2293"/>
      <c r="AE499" s="2293"/>
      <c r="AF499" s="2293"/>
      <c r="AG499" s="2293"/>
      <c r="AH499" s="2289"/>
      <c r="AI499" s="2289"/>
      <c r="AJ499" s="2294"/>
      <c r="AK499" s="2294"/>
      <c r="AL499" s="2289"/>
      <c r="AM499" s="2289"/>
      <c r="AN499" s="2289"/>
      <c r="AO499" s="2289"/>
      <c r="AP499" s="2289"/>
      <c r="AQ499" s="2289"/>
      <c r="AR499" s="2294"/>
      <c r="AS499" s="2294"/>
      <c r="AT499" s="2295"/>
      <c r="AU499" s="2295"/>
      <c r="AV499" s="2295"/>
      <c r="AW499" s="2295"/>
      <c r="AX499" s="2296"/>
      <c r="AY499" s="2289"/>
      <c r="AZ499" s="2289"/>
      <c r="BA499" s="2289"/>
      <c r="BB499" s="2289"/>
      <c r="BC499" s="2289"/>
      <c r="BD499" s="2289"/>
      <c r="BE499" s="2289"/>
      <c r="BF499" s="2289"/>
      <c r="BG499" s="2289"/>
      <c r="BH499" s="2289"/>
      <c r="BI499" s="2289"/>
      <c r="BJ499" s="2289"/>
      <c r="BK499" s="2289"/>
      <c r="BL499" s="2289"/>
      <c r="BM499" s="2289"/>
      <c r="BN499" s="2289"/>
      <c r="BO499" s="2289"/>
      <c r="BP499" s="2289"/>
      <c r="BQ499" s="2289"/>
      <c r="BR499" s="2289"/>
    </row>
    <row r="500" spans="1:70" ht="15.75" customHeight="1">
      <c r="A500" s="2289"/>
      <c r="B500" s="2289"/>
      <c r="C500" s="2289"/>
      <c r="D500" s="2289"/>
      <c r="E500" s="2289"/>
      <c r="F500" s="2289"/>
      <c r="G500" s="2290"/>
      <c r="H500" s="2289"/>
      <c r="I500" s="2289"/>
      <c r="J500" s="2290"/>
      <c r="K500" s="2289"/>
      <c r="L500" s="2289"/>
      <c r="M500" s="2290"/>
      <c r="N500" s="2290"/>
      <c r="O500" s="2290"/>
      <c r="P500" s="2290"/>
      <c r="Q500" s="2289"/>
      <c r="R500" s="2289"/>
      <c r="S500" s="2289"/>
      <c r="T500" s="2291"/>
      <c r="U500" s="2289"/>
      <c r="V500" s="2289"/>
      <c r="W500" s="2289"/>
      <c r="X500" s="2292"/>
      <c r="Y500" s="2292"/>
      <c r="Z500" s="2289"/>
      <c r="AA500" s="2289"/>
      <c r="AB500" s="2289"/>
      <c r="AC500" s="2289"/>
      <c r="AD500" s="2293"/>
      <c r="AE500" s="2293"/>
      <c r="AF500" s="2293"/>
      <c r="AG500" s="2293"/>
      <c r="AH500" s="2289"/>
      <c r="AI500" s="2289"/>
      <c r="AJ500" s="2294"/>
      <c r="AK500" s="2294"/>
      <c r="AL500" s="2289"/>
      <c r="AM500" s="2289"/>
      <c r="AN500" s="2289"/>
      <c r="AO500" s="2289"/>
      <c r="AP500" s="2289"/>
      <c r="AQ500" s="2289"/>
      <c r="AR500" s="2294"/>
      <c r="AS500" s="2294"/>
      <c r="AT500" s="2295"/>
      <c r="AU500" s="2295"/>
      <c r="AV500" s="2295"/>
      <c r="AW500" s="2295"/>
      <c r="AX500" s="2296"/>
      <c r="AY500" s="2289"/>
      <c r="AZ500" s="2289"/>
      <c r="BA500" s="2289"/>
      <c r="BB500" s="2289"/>
      <c r="BC500" s="2289"/>
      <c r="BD500" s="2289"/>
      <c r="BE500" s="2289"/>
      <c r="BF500" s="2289"/>
      <c r="BG500" s="2289"/>
      <c r="BH500" s="2289"/>
      <c r="BI500" s="2289"/>
      <c r="BJ500" s="2289"/>
      <c r="BK500" s="2289"/>
      <c r="BL500" s="2289"/>
      <c r="BM500" s="2289"/>
      <c r="BN500" s="2289"/>
      <c r="BO500" s="2289"/>
      <c r="BP500" s="2289"/>
      <c r="BQ500" s="2289"/>
      <c r="BR500" s="2289"/>
    </row>
    <row r="501" spans="1:70" ht="15.75" customHeight="1">
      <c r="A501" s="2289"/>
      <c r="B501" s="2289"/>
      <c r="C501" s="2289"/>
      <c r="D501" s="2289"/>
      <c r="E501" s="2289"/>
      <c r="F501" s="2289"/>
      <c r="G501" s="2290"/>
      <c r="H501" s="2289"/>
      <c r="I501" s="2289"/>
      <c r="J501" s="2290"/>
      <c r="K501" s="2289"/>
      <c r="L501" s="2289"/>
      <c r="M501" s="2290"/>
      <c r="N501" s="2290"/>
      <c r="O501" s="2290"/>
      <c r="P501" s="2290"/>
      <c r="Q501" s="2289"/>
      <c r="R501" s="2289"/>
      <c r="S501" s="2289"/>
      <c r="T501" s="2291"/>
      <c r="U501" s="2289"/>
      <c r="V501" s="2289"/>
      <c r="W501" s="2289"/>
      <c r="X501" s="2292"/>
      <c r="Y501" s="2292"/>
      <c r="Z501" s="2289"/>
      <c r="AA501" s="2289"/>
      <c r="AB501" s="2289"/>
      <c r="AC501" s="2289"/>
      <c r="AD501" s="2293"/>
      <c r="AE501" s="2293"/>
      <c r="AF501" s="2293"/>
      <c r="AG501" s="2293"/>
      <c r="AH501" s="2289"/>
      <c r="AI501" s="2289"/>
      <c r="AJ501" s="2294"/>
      <c r="AK501" s="2294"/>
      <c r="AL501" s="2289"/>
      <c r="AM501" s="2289"/>
      <c r="AN501" s="2289"/>
      <c r="AO501" s="2289"/>
      <c r="AP501" s="2289"/>
      <c r="AQ501" s="2289"/>
      <c r="AR501" s="2294"/>
      <c r="AS501" s="2294"/>
      <c r="AT501" s="2295"/>
      <c r="AU501" s="2295"/>
      <c r="AV501" s="2295"/>
      <c r="AW501" s="2295"/>
      <c r="AX501" s="2296"/>
      <c r="AY501" s="2289"/>
      <c r="AZ501" s="2289"/>
      <c r="BA501" s="2289"/>
      <c r="BB501" s="2289"/>
      <c r="BC501" s="2289"/>
      <c r="BD501" s="2289"/>
      <c r="BE501" s="2289"/>
      <c r="BF501" s="2289"/>
      <c r="BG501" s="2289"/>
      <c r="BH501" s="2289"/>
      <c r="BI501" s="2289"/>
      <c r="BJ501" s="2289"/>
      <c r="BK501" s="2289"/>
      <c r="BL501" s="2289"/>
      <c r="BM501" s="2289"/>
      <c r="BN501" s="2289"/>
      <c r="BO501" s="2289"/>
      <c r="BP501" s="2289"/>
      <c r="BQ501" s="2289"/>
      <c r="BR501" s="2289"/>
    </row>
    <row r="502" spans="1:70" ht="15.75" customHeight="1">
      <c r="A502" s="2289"/>
      <c r="B502" s="2289"/>
      <c r="C502" s="2289"/>
      <c r="D502" s="2289"/>
      <c r="E502" s="2289"/>
      <c r="F502" s="2289"/>
      <c r="G502" s="2290"/>
      <c r="H502" s="2289"/>
      <c r="I502" s="2289"/>
      <c r="J502" s="2290"/>
      <c r="K502" s="2289"/>
      <c r="L502" s="2289"/>
      <c r="M502" s="2290"/>
      <c r="N502" s="2290"/>
      <c r="O502" s="2290"/>
      <c r="P502" s="2290"/>
      <c r="Q502" s="2289"/>
      <c r="R502" s="2289"/>
      <c r="S502" s="2289"/>
      <c r="T502" s="2291"/>
      <c r="U502" s="2289"/>
      <c r="V502" s="2289"/>
      <c r="W502" s="2289"/>
      <c r="X502" s="2292"/>
      <c r="Y502" s="2292"/>
      <c r="Z502" s="2289"/>
      <c r="AA502" s="2289"/>
      <c r="AB502" s="2289"/>
      <c r="AC502" s="2289"/>
      <c r="AD502" s="2293"/>
      <c r="AE502" s="2293"/>
      <c r="AF502" s="2293"/>
      <c r="AG502" s="2293"/>
      <c r="AH502" s="2289"/>
      <c r="AI502" s="2289"/>
      <c r="AJ502" s="2294"/>
      <c r="AK502" s="2294"/>
      <c r="AL502" s="2289"/>
      <c r="AM502" s="2289"/>
      <c r="AN502" s="2289"/>
      <c r="AO502" s="2289"/>
      <c r="AP502" s="2289"/>
      <c r="AQ502" s="2289"/>
      <c r="AR502" s="2294"/>
      <c r="AS502" s="2294"/>
      <c r="AT502" s="2295"/>
      <c r="AU502" s="2295"/>
      <c r="AV502" s="2295"/>
      <c r="AW502" s="2295"/>
      <c r="AX502" s="2296"/>
      <c r="AY502" s="2289"/>
      <c r="AZ502" s="2289"/>
      <c r="BA502" s="2289"/>
      <c r="BB502" s="2289"/>
      <c r="BC502" s="2289"/>
      <c r="BD502" s="2289"/>
      <c r="BE502" s="2289"/>
      <c r="BF502" s="2289"/>
      <c r="BG502" s="2289"/>
      <c r="BH502" s="2289"/>
      <c r="BI502" s="2289"/>
      <c r="BJ502" s="2289"/>
      <c r="BK502" s="2289"/>
      <c r="BL502" s="2289"/>
      <c r="BM502" s="2289"/>
      <c r="BN502" s="2289"/>
      <c r="BO502" s="2289"/>
      <c r="BP502" s="2289"/>
      <c r="BQ502" s="2289"/>
      <c r="BR502" s="2289"/>
    </row>
    <row r="503" spans="1:70" ht="15.75" customHeight="1">
      <c r="A503" s="2289"/>
      <c r="B503" s="2289"/>
      <c r="C503" s="2289"/>
      <c r="D503" s="2289"/>
      <c r="E503" s="2289"/>
      <c r="F503" s="2289"/>
      <c r="G503" s="2290"/>
      <c r="H503" s="2289"/>
      <c r="I503" s="2289"/>
      <c r="J503" s="2290"/>
      <c r="K503" s="2289"/>
      <c r="L503" s="2289"/>
      <c r="M503" s="2290"/>
      <c r="N503" s="2290"/>
      <c r="O503" s="2290"/>
      <c r="P503" s="2290"/>
      <c r="Q503" s="2289"/>
      <c r="R503" s="2289"/>
      <c r="S503" s="2289"/>
      <c r="T503" s="2291"/>
      <c r="U503" s="2289"/>
      <c r="V503" s="2289"/>
      <c r="W503" s="2289"/>
      <c r="X503" s="2292"/>
      <c r="Y503" s="2292"/>
      <c r="Z503" s="2289"/>
      <c r="AA503" s="2289"/>
      <c r="AB503" s="2289"/>
      <c r="AC503" s="2289"/>
      <c r="AD503" s="2293"/>
      <c r="AE503" s="2293"/>
      <c r="AF503" s="2293"/>
      <c r="AG503" s="2293"/>
      <c r="AH503" s="2289"/>
      <c r="AI503" s="2289"/>
      <c r="AJ503" s="2294"/>
      <c r="AK503" s="2294"/>
      <c r="AL503" s="2289"/>
      <c r="AM503" s="2289"/>
      <c r="AN503" s="2289"/>
      <c r="AO503" s="2289"/>
      <c r="AP503" s="2289"/>
      <c r="AQ503" s="2289"/>
      <c r="AR503" s="2294"/>
      <c r="AS503" s="2294"/>
      <c r="AT503" s="2295"/>
      <c r="AU503" s="2295"/>
      <c r="AV503" s="2295"/>
      <c r="AW503" s="2295"/>
      <c r="AX503" s="2296"/>
      <c r="AY503" s="2289"/>
      <c r="AZ503" s="2289"/>
      <c r="BA503" s="2289"/>
      <c r="BB503" s="2289"/>
      <c r="BC503" s="2289"/>
      <c r="BD503" s="2289"/>
      <c r="BE503" s="2289"/>
      <c r="BF503" s="2289"/>
      <c r="BG503" s="2289"/>
      <c r="BH503" s="2289"/>
      <c r="BI503" s="2289"/>
      <c r="BJ503" s="2289"/>
      <c r="BK503" s="2289"/>
      <c r="BL503" s="2289"/>
      <c r="BM503" s="2289"/>
      <c r="BN503" s="2289"/>
      <c r="BO503" s="2289"/>
      <c r="BP503" s="2289"/>
      <c r="BQ503" s="2289"/>
      <c r="BR503" s="2289"/>
    </row>
    <row r="504" spans="1:70" ht="15.75" customHeight="1">
      <c r="A504" s="2289"/>
      <c r="B504" s="2289"/>
      <c r="C504" s="2289"/>
      <c r="D504" s="2289"/>
      <c r="E504" s="2289"/>
      <c r="F504" s="2289"/>
      <c r="G504" s="2290"/>
      <c r="H504" s="2289"/>
      <c r="I504" s="2289"/>
      <c r="J504" s="2290"/>
      <c r="K504" s="2289"/>
      <c r="L504" s="2289"/>
      <c r="M504" s="2290"/>
      <c r="N504" s="2290"/>
      <c r="O504" s="2290"/>
      <c r="P504" s="2290"/>
      <c r="Q504" s="2289"/>
      <c r="R504" s="2289"/>
      <c r="S504" s="2289"/>
      <c r="T504" s="2291"/>
      <c r="U504" s="2289"/>
      <c r="V504" s="2289"/>
      <c r="W504" s="2289"/>
      <c r="X504" s="2292"/>
      <c r="Y504" s="2292"/>
      <c r="Z504" s="2289"/>
      <c r="AA504" s="2289"/>
      <c r="AB504" s="2289"/>
      <c r="AC504" s="2289"/>
      <c r="AD504" s="2293"/>
      <c r="AE504" s="2293"/>
      <c r="AF504" s="2293"/>
      <c r="AG504" s="2293"/>
      <c r="AH504" s="2289"/>
      <c r="AI504" s="2289"/>
      <c r="AJ504" s="2294"/>
      <c r="AK504" s="2294"/>
      <c r="AL504" s="2289"/>
      <c r="AM504" s="2289"/>
      <c r="AN504" s="2289"/>
      <c r="AO504" s="2289"/>
      <c r="AP504" s="2289"/>
      <c r="AQ504" s="2289"/>
      <c r="AR504" s="2294"/>
      <c r="AS504" s="2294"/>
      <c r="AT504" s="2295"/>
      <c r="AU504" s="2295"/>
      <c r="AV504" s="2295"/>
      <c r="AW504" s="2295"/>
      <c r="AX504" s="2296"/>
      <c r="AY504" s="2289"/>
      <c r="AZ504" s="2289"/>
      <c r="BA504" s="2289"/>
      <c r="BB504" s="2289"/>
      <c r="BC504" s="2289"/>
      <c r="BD504" s="2289"/>
      <c r="BE504" s="2289"/>
      <c r="BF504" s="2289"/>
      <c r="BG504" s="2289"/>
      <c r="BH504" s="2289"/>
      <c r="BI504" s="2289"/>
      <c r="BJ504" s="2289"/>
      <c r="BK504" s="2289"/>
      <c r="BL504" s="2289"/>
      <c r="BM504" s="2289"/>
      <c r="BN504" s="2289"/>
      <c r="BO504" s="2289"/>
      <c r="BP504" s="2289"/>
      <c r="BQ504" s="2289"/>
      <c r="BR504" s="2289"/>
    </row>
    <row r="505" spans="1:70" ht="15.75" customHeight="1">
      <c r="A505" s="2289"/>
      <c r="B505" s="2289"/>
      <c r="C505" s="2289"/>
      <c r="D505" s="2289"/>
      <c r="E505" s="2289"/>
      <c r="F505" s="2289"/>
      <c r="G505" s="2290"/>
      <c r="H505" s="2289"/>
      <c r="I505" s="2289"/>
      <c r="J505" s="2290"/>
      <c r="K505" s="2289"/>
      <c r="L505" s="2289"/>
      <c r="M505" s="2290"/>
      <c r="N505" s="2290"/>
      <c r="O505" s="2290"/>
      <c r="P505" s="2290"/>
      <c r="Q505" s="2289"/>
      <c r="R505" s="2289"/>
      <c r="S505" s="2289"/>
      <c r="T505" s="2291"/>
      <c r="U505" s="2289"/>
      <c r="V505" s="2289"/>
      <c r="W505" s="2289"/>
      <c r="X505" s="2292"/>
      <c r="Y505" s="2292"/>
      <c r="Z505" s="2289"/>
      <c r="AA505" s="2289"/>
      <c r="AB505" s="2289"/>
      <c r="AC505" s="2289"/>
      <c r="AD505" s="2293"/>
      <c r="AE505" s="2293"/>
      <c r="AF505" s="2293"/>
      <c r="AG505" s="2293"/>
      <c r="AH505" s="2289"/>
      <c r="AI505" s="2289"/>
      <c r="AJ505" s="2294"/>
      <c r="AK505" s="2294"/>
      <c r="AL505" s="2289"/>
      <c r="AM505" s="2289"/>
      <c r="AN505" s="2289"/>
      <c r="AO505" s="2289"/>
      <c r="AP505" s="2289"/>
      <c r="AQ505" s="2289"/>
      <c r="AR505" s="2294"/>
      <c r="AS505" s="2294"/>
      <c r="AT505" s="2295"/>
      <c r="AU505" s="2295"/>
      <c r="AV505" s="2295"/>
      <c r="AW505" s="2295"/>
      <c r="AX505" s="2296"/>
      <c r="AY505" s="2289"/>
      <c r="AZ505" s="2289"/>
      <c r="BA505" s="2289"/>
      <c r="BB505" s="2289"/>
      <c r="BC505" s="2289"/>
      <c r="BD505" s="2289"/>
      <c r="BE505" s="2289"/>
      <c r="BF505" s="2289"/>
      <c r="BG505" s="2289"/>
      <c r="BH505" s="2289"/>
      <c r="BI505" s="2289"/>
      <c r="BJ505" s="2289"/>
      <c r="BK505" s="2289"/>
      <c r="BL505" s="2289"/>
      <c r="BM505" s="2289"/>
      <c r="BN505" s="2289"/>
      <c r="BO505" s="2289"/>
      <c r="BP505" s="2289"/>
      <c r="BQ505" s="2289"/>
      <c r="BR505" s="2289"/>
    </row>
    <row r="506" spans="1:70" ht="15.75" customHeight="1">
      <c r="A506" s="2289"/>
      <c r="B506" s="2289"/>
      <c r="C506" s="2289"/>
      <c r="D506" s="2289"/>
      <c r="E506" s="2289"/>
      <c r="F506" s="2289"/>
      <c r="G506" s="2290"/>
      <c r="H506" s="2289"/>
      <c r="I506" s="2289"/>
      <c r="J506" s="2290"/>
      <c r="K506" s="2289"/>
      <c r="L506" s="2289"/>
      <c r="M506" s="2290"/>
      <c r="N506" s="2290"/>
      <c r="O506" s="2290"/>
      <c r="P506" s="2290"/>
      <c r="Q506" s="2289"/>
      <c r="R506" s="2289"/>
      <c r="S506" s="2289"/>
      <c r="T506" s="2291"/>
      <c r="U506" s="2289"/>
      <c r="V506" s="2289"/>
      <c r="W506" s="2289"/>
      <c r="X506" s="2292"/>
      <c r="Y506" s="2292"/>
      <c r="Z506" s="2289"/>
      <c r="AA506" s="2289"/>
      <c r="AB506" s="2289"/>
      <c r="AC506" s="2289"/>
      <c r="AD506" s="2293"/>
      <c r="AE506" s="2293"/>
      <c r="AF506" s="2293"/>
      <c r="AG506" s="2293"/>
      <c r="AH506" s="2289"/>
      <c r="AI506" s="2289"/>
      <c r="AJ506" s="2294"/>
      <c r="AK506" s="2294"/>
      <c r="AL506" s="2289"/>
      <c r="AM506" s="2289"/>
      <c r="AN506" s="2289"/>
      <c r="AO506" s="2289"/>
      <c r="AP506" s="2289"/>
      <c r="AQ506" s="2289"/>
      <c r="AR506" s="2294"/>
      <c r="AS506" s="2294"/>
      <c r="AT506" s="2295"/>
      <c r="AU506" s="2295"/>
      <c r="AV506" s="2295"/>
      <c r="AW506" s="2295"/>
      <c r="AX506" s="2296"/>
      <c r="AY506" s="2289"/>
      <c r="AZ506" s="2289"/>
      <c r="BA506" s="2289"/>
      <c r="BB506" s="2289"/>
      <c r="BC506" s="2289"/>
      <c r="BD506" s="2289"/>
      <c r="BE506" s="2289"/>
      <c r="BF506" s="2289"/>
      <c r="BG506" s="2289"/>
      <c r="BH506" s="2289"/>
      <c r="BI506" s="2289"/>
      <c r="BJ506" s="2289"/>
      <c r="BK506" s="2289"/>
      <c r="BL506" s="2289"/>
      <c r="BM506" s="2289"/>
      <c r="BN506" s="2289"/>
      <c r="BO506" s="2289"/>
      <c r="BP506" s="2289"/>
      <c r="BQ506" s="2289"/>
      <c r="BR506" s="2289"/>
    </row>
    <row r="507" spans="1:70" ht="15.75" customHeight="1">
      <c r="A507" s="2289"/>
      <c r="B507" s="2289"/>
      <c r="C507" s="2289"/>
      <c r="D507" s="2289"/>
      <c r="E507" s="2289"/>
      <c r="F507" s="2289"/>
      <c r="G507" s="2290"/>
      <c r="H507" s="2289"/>
      <c r="I507" s="2289"/>
      <c r="J507" s="2290"/>
      <c r="K507" s="2289"/>
      <c r="L507" s="2289"/>
      <c r="M507" s="2290"/>
      <c r="N507" s="2290"/>
      <c r="O507" s="2290"/>
      <c r="P507" s="2290"/>
      <c r="Q507" s="2289"/>
      <c r="R507" s="2289"/>
      <c r="S507" s="2289"/>
      <c r="T507" s="2291"/>
      <c r="U507" s="2289"/>
      <c r="V507" s="2289"/>
      <c r="W507" s="2289"/>
      <c r="X507" s="2292"/>
      <c r="Y507" s="2292"/>
      <c r="Z507" s="2289"/>
      <c r="AA507" s="2289"/>
      <c r="AB507" s="2289"/>
      <c r="AC507" s="2289"/>
      <c r="AD507" s="2293"/>
      <c r="AE507" s="2293"/>
      <c r="AF507" s="2293"/>
      <c r="AG507" s="2293"/>
      <c r="AH507" s="2289"/>
      <c r="AI507" s="2289"/>
      <c r="AJ507" s="2294"/>
      <c r="AK507" s="2294"/>
      <c r="AL507" s="2289"/>
      <c r="AM507" s="2289"/>
      <c r="AN507" s="2289"/>
      <c r="AO507" s="2289"/>
      <c r="AP507" s="2289"/>
      <c r="AQ507" s="2289"/>
      <c r="AR507" s="2294"/>
      <c r="AS507" s="2294"/>
      <c r="AT507" s="2295"/>
      <c r="AU507" s="2295"/>
      <c r="AV507" s="2295"/>
      <c r="AW507" s="2295"/>
      <c r="AX507" s="2296"/>
      <c r="AY507" s="2289"/>
      <c r="AZ507" s="2289"/>
      <c r="BA507" s="2289"/>
      <c r="BB507" s="2289"/>
      <c r="BC507" s="2289"/>
      <c r="BD507" s="2289"/>
      <c r="BE507" s="2289"/>
      <c r="BF507" s="2289"/>
      <c r="BG507" s="2289"/>
      <c r="BH507" s="2289"/>
      <c r="BI507" s="2289"/>
      <c r="BJ507" s="2289"/>
      <c r="BK507" s="2289"/>
      <c r="BL507" s="2289"/>
      <c r="BM507" s="2289"/>
      <c r="BN507" s="2289"/>
      <c r="BO507" s="2289"/>
      <c r="BP507" s="2289"/>
      <c r="BQ507" s="2289"/>
      <c r="BR507" s="2289"/>
    </row>
    <row r="508" spans="1:70" ht="15.75" customHeight="1">
      <c r="A508" s="2289"/>
      <c r="B508" s="2289"/>
      <c r="C508" s="2289"/>
      <c r="D508" s="2289"/>
      <c r="E508" s="2289"/>
      <c r="F508" s="2289"/>
      <c r="G508" s="2290"/>
      <c r="H508" s="2289"/>
      <c r="I508" s="2289"/>
      <c r="J508" s="2290"/>
      <c r="K508" s="2289"/>
      <c r="L508" s="2289"/>
      <c r="M508" s="2290"/>
      <c r="N508" s="2290"/>
      <c r="O508" s="2290"/>
      <c r="P508" s="2290"/>
      <c r="Q508" s="2289"/>
      <c r="R508" s="2289"/>
      <c r="S508" s="2289"/>
      <c r="T508" s="2291"/>
      <c r="U508" s="2289"/>
      <c r="V508" s="2289"/>
      <c r="W508" s="2289"/>
      <c r="X508" s="2292"/>
      <c r="Y508" s="2292"/>
      <c r="Z508" s="2289"/>
      <c r="AA508" s="2289"/>
      <c r="AB508" s="2289"/>
      <c r="AC508" s="2289"/>
      <c r="AD508" s="2293"/>
      <c r="AE508" s="2293"/>
      <c r="AF508" s="2293"/>
      <c r="AG508" s="2293"/>
      <c r="AH508" s="2289"/>
      <c r="AI508" s="2289"/>
      <c r="AJ508" s="2294"/>
      <c r="AK508" s="2294"/>
      <c r="AL508" s="2289"/>
      <c r="AM508" s="2289"/>
      <c r="AN508" s="2289"/>
      <c r="AO508" s="2289"/>
      <c r="AP508" s="2289"/>
      <c r="AQ508" s="2289"/>
      <c r="AR508" s="2294"/>
      <c r="AS508" s="2294"/>
      <c r="AT508" s="2295"/>
      <c r="AU508" s="2295"/>
      <c r="AV508" s="2295"/>
      <c r="AW508" s="2295"/>
      <c r="AX508" s="2296"/>
      <c r="AY508" s="2289"/>
      <c r="AZ508" s="2289"/>
      <c r="BA508" s="2289"/>
      <c r="BB508" s="2289"/>
      <c r="BC508" s="2289"/>
      <c r="BD508" s="2289"/>
      <c r="BE508" s="2289"/>
      <c r="BF508" s="2289"/>
      <c r="BG508" s="2289"/>
      <c r="BH508" s="2289"/>
      <c r="BI508" s="2289"/>
      <c r="BJ508" s="2289"/>
      <c r="BK508" s="2289"/>
      <c r="BL508" s="2289"/>
      <c r="BM508" s="2289"/>
      <c r="BN508" s="2289"/>
      <c r="BO508" s="2289"/>
      <c r="BP508" s="2289"/>
      <c r="BQ508" s="2289"/>
      <c r="BR508" s="2289"/>
    </row>
    <row r="509" spans="1:70" ht="15.75" customHeight="1">
      <c r="A509" s="2289"/>
      <c r="B509" s="2289"/>
      <c r="C509" s="2289"/>
      <c r="D509" s="2289"/>
      <c r="E509" s="2289"/>
      <c r="F509" s="2289"/>
      <c r="G509" s="2290"/>
      <c r="H509" s="2289"/>
      <c r="I509" s="2289"/>
      <c r="J509" s="2290"/>
      <c r="K509" s="2289"/>
      <c r="L509" s="2289"/>
      <c r="M509" s="2290"/>
      <c r="N509" s="2290"/>
      <c r="O509" s="2290"/>
      <c r="P509" s="2290"/>
      <c r="Q509" s="2289"/>
      <c r="R509" s="2289"/>
      <c r="S509" s="2289"/>
      <c r="T509" s="2291"/>
      <c r="U509" s="2289"/>
      <c r="V509" s="2289"/>
      <c r="W509" s="2289"/>
      <c r="X509" s="2292"/>
      <c r="Y509" s="2292"/>
      <c r="Z509" s="2289"/>
      <c r="AA509" s="2289"/>
      <c r="AB509" s="2289"/>
      <c r="AC509" s="2289"/>
      <c r="AD509" s="2293"/>
      <c r="AE509" s="2293"/>
      <c r="AF509" s="2293"/>
      <c r="AG509" s="2293"/>
      <c r="AH509" s="2289"/>
      <c r="AI509" s="2289"/>
      <c r="AJ509" s="2294"/>
      <c r="AK509" s="2294"/>
      <c r="AL509" s="2289"/>
      <c r="AM509" s="2289"/>
      <c r="AN509" s="2289"/>
      <c r="AO509" s="2289"/>
      <c r="AP509" s="2289"/>
      <c r="AQ509" s="2289"/>
      <c r="AR509" s="2294"/>
      <c r="AS509" s="2294"/>
      <c r="AT509" s="2295"/>
      <c r="AU509" s="2295"/>
      <c r="AV509" s="2295"/>
      <c r="AW509" s="2295"/>
      <c r="AX509" s="2296"/>
      <c r="AY509" s="2289"/>
      <c r="AZ509" s="2289"/>
      <c r="BA509" s="2289"/>
      <c r="BB509" s="2289"/>
      <c r="BC509" s="2289"/>
      <c r="BD509" s="2289"/>
      <c r="BE509" s="2289"/>
      <c r="BF509" s="2289"/>
      <c r="BG509" s="2289"/>
      <c r="BH509" s="2289"/>
      <c r="BI509" s="2289"/>
      <c r="BJ509" s="2289"/>
      <c r="BK509" s="2289"/>
      <c r="BL509" s="2289"/>
      <c r="BM509" s="2289"/>
      <c r="BN509" s="2289"/>
      <c r="BO509" s="2289"/>
      <c r="BP509" s="2289"/>
      <c r="BQ509" s="2289"/>
      <c r="BR509" s="2289"/>
    </row>
    <row r="510" spans="1:70" ht="15.75" customHeight="1">
      <c r="A510" s="2289"/>
      <c r="B510" s="2289"/>
      <c r="C510" s="2289"/>
      <c r="D510" s="2289"/>
      <c r="E510" s="2289"/>
      <c r="F510" s="2289"/>
      <c r="G510" s="2290"/>
      <c r="H510" s="2289"/>
      <c r="I510" s="2289"/>
      <c r="J510" s="2290"/>
      <c r="K510" s="2289"/>
      <c r="L510" s="2289"/>
      <c r="M510" s="2290"/>
      <c r="N510" s="2290"/>
      <c r="O510" s="2290"/>
      <c r="P510" s="2290"/>
      <c r="Q510" s="2289"/>
      <c r="R510" s="2289"/>
      <c r="S510" s="2289"/>
      <c r="T510" s="2291"/>
      <c r="U510" s="2289"/>
      <c r="V510" s="2289"/>
      <c r="W510" s="2289"/>
      <c r="X510" s="2292"/>
      <c r="Y510" s="2292"/>
      <c r="Z510" s="2289"/>
      <c r="AA510" s="2289"/>
      <c r="AB510" s="2289"/>
      <c r="AC510" s="2289"/>
      <c r="AD510" s="2293"/>
      <c r="AE510" s="2293"/>
      <c r="AF510" s="2293"/>
      <c r="AG510" s="2293"/>
      <c r="AH510" s="2289"/>
      <c r="AI510" s="2289"/>
      <c r="AJ510" s="2294"/>
      <c r="AK510" s="2294"/>
      <c r="AL510" s="2289"/>
      <c r="AM510" s="2289"/>
      <c r="AN510" s="2289"/>
      <c r="AO510" s="2289"/>
      <c r="AP510" s="2289"/>
      <c r="AQ510" s="2289"/>
      <c r="AR510" s="2294"/>
      <c r="AS510" s="2294"/>
      <c r="AT510" s="2295"/>
      <c r="AU510" s="2295"/>
      <c r="AV510" s="2295"/>
      <c r="AW510" s="2295"/>
      <c r="AX510" s="2296"/>
      <c r="AY510" s="2289"/>
      <c r="AZ510" s="2289"/>
      <c r="BA510" s="2289"/>
      <c r="BB510" s="2289"/>
      <c r="BC510" s="2289"/>
      <c r="BD510" s="2289"/>
      <c r="BE510" s="2289"/>
      <c r="BF510" s="2289"/>
      <c r="BG510" s="2289"/>
      <c r="BH510" s="2289"/>
      <c r="BI510" s="2289"/>
      <c r="BJ510" s="2289"/>
      <c r="BK510" s="2289"/>
      <c r="BL510" s="2289"/>
      <c r="BM510" s="2289"/>
      <c r="BN510" s="2289"/>
      <c r="BO510" s="2289"/>
      <c r="BP510" s="2289"/>
      <c r="BQ510" s="2289"/>
      <c r="BR510" s="2289"/>
    </row>
    <row r="511" spans="1:70" ht="15.75" customHeight="1">
      <c r="A511" s="2289"/>
      <c r="B511" s="2289"/>
      <c r="C511" s="2289"/>
      <c r="D511" s="2289"/>
      <c r="E511" s="2289"/>
      <c r="F511" s="2289"/>
      <c r="G511" s="2290"/>
      <c r="H511" s="2289"/>
      <c r="I511" s="2289"/>
      <c r="J511" s="2290"/>
      <c r="K511" s="2289"/>
      <c r="L511" s="2289"/>
      <c r="M511" s="2290"/>
      <c r="N511" s="2290"/>
      <c r="O511" s="2290"/>
      <c r="P511" s="2290"/>
      <c r="Q511" s="2289"/>
      <c r="R511" s="2289"/>
      <c r="S511" s="2289"/>
      <c r="T511" s="2291"/>
      <c r="U511" s="2289"/>
      <c r="V511" s="2289"/>
      <c r="W511" s="2289"/>
      <c r="X511" s="2292"/>
      <c r="Y511" s="2292"/>
      <c r="Z511" s="2289"/>
      <c r="AA511" s="2289"/>
      <c r="AB511" s="2289"/>
      <c r="AC511" s="2289"/>
      <c r="AD511" s="2293"/>
      <c r="AE511" s="2293"/>
      <c r="AF511" s="2293"/>
      <c r="AG511" s="2293"/>
      <c r="AH511" s="2289"/>
      <c r="AI511" s="2289"/>
      <c r="AJ511" s="2294"/>
      <c r="AK511" s="2294"/>
      <c r="AL511" s="2289"/>
      <c r="AM511" s="2289"/>
      <c r="AN511" s="2289"/>
      <c r="AO511" s="2289"/>
      <c r="AP511" s="2289"/>
      <c r="AQ511" s="2289"/>
      <c r="AR511" s="2294"/>
      <c r="AS511" s="2294"/>
      <c r="AT511" s="2295"/>
      <c r="AU511" s="2295"/>
      <c r="AV511" s="2295"/>
      <c r="AW511" s="2295"/>
      <c r="AX511" s="2296"/>
      <c r="AY511" s="2289"/>
      <c r="AZ511" s="2289"/>
      <c r="BA511" s="2289"/>
      <c r="BB511" s="2289"/>
      <c r="BC511" s="2289"/>
      <c r="BD511" s="2289"/>
      <c r="BE511" s="2289"/>
      <c r="BF511" s="2289"/>
      <c r="BG511" s="2289"/>
      <c r="BH511" s="2289"/>
      <c r="BI511" s="2289"/>
      <c r="BJ511" s="2289"/>
      <c r="BK511" s="2289"/>
      <c r="BL511" s="2289"/>
      <c r="BM511" s="2289"/>
      <c r="BN511" s="2289"/>
      <c r="BO511" s="2289"/>
      <c r="BP511" s="2289"/>
      <c r="BQ511" s="2289"/>
      <c r="BR511" s="2289"/>
    </row>
    <row r="512" spans="1:70" ht="15.75" customHeight="1">
      <c r="A512" s="2289"/>
      <c r="B512" s="2289"/>
      <c r="C512" s="2289"/>
      <c r="D512" s="2289"/>
      <c r="E512" s="2289"/>
      <c r="F512" s="2289"/>
      <c r="G512" s="2290"/>
      <c r="H512" s="2289"/>
      <c r="I512" s="2289"/>
      <c r="J512" s="2290"/>
      <c r="K512" s="2289"/>
      <c r="L512" s="2289"/>
      <c r="M512" s="2290"/>
      <c r="N512" s="2290"/>
      <c r="O512" s="2290"/>
      <c r="P512" s="2290"/>
      <c r="Q512" s="2289"/>
      <c r="R512" s="2289"/>
      <c r="S512" s="2289"/>
      <c r="T512" s="2291"/>
      <c r="U512" s="2289"/>
      <c r="V512" s="2289"/>
      <c r="W512" s="2289"/>
      <c r="X512" s="2292"/>
      <c r="Y512" s="2292"/>
      <c r="Z512" s="2289"/>
      <c r="AA512" s="2289"/>
      <c r="AB512" s="2289"/>
      <c r="AC512" s="2289"/>
      <c r="AD512" s="2293"/>
      <c r="AE512" s="2293"/>
      <c r="AF512" s="2293"/>
      <c r="AG512" s="2293"/>
      <c r="AH512" s="2289"/>
      <c r="AI512" s="2289"/>
      <c r="AJ512" s="2294"/>
      <c r="AK512" s="2294"/>
      <c r="AL512" s="2289"/>
      <c r="AM512" s="2289"/>
      <c r="AN512" s="2289"/>
      <c r="AO512" s="2289"/>
      <c r="AP512" s="2289"/>
      <c r="AQ512" s="2289"/>
      <c r="AR512" s="2294"/>
      <c r="AS512" s="2294"/>
      <c r="AT512" s="2295"/>
      <c r="AU512" s="2295"/>
      <c r="AV512" s="2295"/>
      <c r="AW512" s="2295"/>
      <c r="AX512" s="2296"/>
      <c r="AY512" s="2289"/>
      <c r="AZ512" s="2289"/>
      <c r="BA512" s="2289"/>
      <c r="BB512" s="2289"/>
      <c r="BC512" s="2289"/>
      <c r="BD512" s="2289"/>
      <c r="BE512" s="2289"/>
      <c r="BF512" s="2289"/>
      <c r="BG512" s="2289"/>
      <c r="BH512" s="2289"/>
      <c r="BI512" s="2289"/>
      <c r="BJ512" s="2289"/>
      <c r="BK512" s="2289"/>
      <c r="BL512" s="2289"/>
      <c r="BM512" s="2289"/>
      <c r="BN512" s="2289"/>
      <c r="BO512" s="2289"/>
      <c r="BP512" s="2289"/>
      <c r="BQ512" s="2289"/>
      <c r="BR512" s="2289"/>
    </row>
    <row r="513" spans="1:70" ht="15.75" customHeight="1">
      <c r="A513" s="2289"/>
      <c r="B513" s="2289"/>
      <c r="C513" s="2289"/>
      <c r="D513" s="2289"/>
      <c r="E513" s="2289"/>
      <c r="F513" s="2289"/>
      <c r="G513" s="2290"/>
      <c r="H513" s="2289"/>
      <c r="I513" s="2289"/>
      <c r="J513" s="2290"/>
      <c r="K513" s="2289"/>
      <c r="L513" s="2289"/>
      <c r="M513" s="2290"/>
      <c r="N513" s="2290"/>
      <c r="O513" s="2290"/>
      <c r="P513" s="2290"/>
      <c r="Q513" s="2289"/>
      <c r="R513" s="2289"/>
      <c r="S513" s="2289"/>
      <c r="T513" s="2291"/>
      <c r="U513" s="2289"/>
      <c r="V513" s="2289"/>
      <c r="W513" s="2289"/>
      <c r="X513" s="2292"/>
      <c r="Y513" s="2292"/>
      <c r="Z513" s="2289"/>
      <c r="AA513" s="2289"/>
      <c r="AB513" s="2289"/>
      <c r="AC513" s="2289"/>
      <c r="AD513" s="2293"/>
      <c r="AE513" s="2293"/>
      <c r="AF513" s="2293"/>
      <c r="AG513" s="2293"/>
      <c r="AH513" s="2289"/>
      <c r="AI513" s="2289"/>
      <c r="AJ513" s="2294"/>
      <c r="AK513" s="2294"/>
      <c r="AL513" s="2289"/>
      <c r="AM513" s="2289"/>
      <c r="AN513" s="2289"/>
      <c r="AO513" s="2289"/>
      <c r="AP513" s="2289"/>
      <c r="AQ513" s="2289"/>
      <c r="AR513" s="2294"/>
      <c r="AS513" s="2294"/>
      <c r="AT513" s="2295"/>
      <c r="AU513" s="2295"/>
      <c r="AV513" s="2295"/>
      <c r="AW513" s="2295"/>
      <c r="AX513" s="2296"/>
      <c r="AY513" s="2289"/>
      <c r="AZ513" s="2289"/>
      <c r="BA513" s="2289"/>
      <c r="BB513" s="2289"/>
      <c r="BC513" s="2289"/>
      <c r="BD513" s="2289"/>
      <c r="BE513" s="2289"/>
      <c r="BF513" s="2289"/>
      <c r="BG513" s="2289"/>
      <c r="BH513" s="2289"/>
      <c r="BI513" s="2289"/>
      <c r="BJ513" s="2289"/>
      <c r="BK513" s="2289"/>
      <c r="BL513" s="2289"/>
      <c r="BM513" s="2289"/>
      <c r="BN513" s="2289"/>
      <c r="BO513" s="2289"/>
      <c r="BP513" s="2289"/>
      <c r="BQ513" s="2289"/>
      <c r="BR513" s="2289"/>
    </row>
    <row r="514" spans="1:70" ht="15.75" customHeight="1">
      <c r="A514" s="2289"/>
      <c r="B514" s="2289"/>
      <c r="C514" s="2289"/>
      <c r="D514" s="2289"/>
      <c r="E514" s="2289"/>
      <c r="F514" s="2289"/>
      <c r="G514" s="2290"/>
      <c r="H514" s="2289"/>
      <c r="I514" s="2289"/>
      <c r="J514" s="2290"/>
      <c r="K514" s="2289"/>
      <c r="L514" s="2289"/>
      <c r="M514" s="2290"/>
      <c r="N514" s="2290"/>
      <c r="O514" s="2290"/>
      <c r="P514" s="2290"/>
      <c r="Q514" s="2289"/>
      <c r="R514" s="2289"/>
      <c r="S514" s="2289"/>
      <c r="T514" s="2291"/>
      <c r="U514" s="2289"/>
      <c r="V514" s="2289"/>
      <c r="W514" s="2289"/>
      <c r="X514" s="2292"/>
      <c r="Y514" s="2292"/>
      <c r="Z514" s="2289"/>
      <c r="AA514" s="2289"/>
      <c r="AB514" s="2289"/>
      <c r="AC514" s="2289"/>
      <c r="AD514" s="2293"/>
      <c r="AE514" s="2293"/>
      <c r="AF514" s="2293"/>
      <c r="AG514" s="2293"/>
      <c r="AH514" s="2289"/>
      <c r="AI514" s="2289"/>
      <c r="AJ514" s="2294"/>
      <c r="AK514" s="2294"/>
      <c r="AL514" s="2289"/>
      <c r="AM514" s="2289"/>
      <c r="AN514" s="2289"/>
      <c r="AO514" s="2289"/>
      <c r="AP514" s="2289"/>
      <c r="AQ514" s="2289"/>
      <c r="AR514" s="2294"/>
      <c r="AS514" s="2294"/>
      <c r="AT514" s="2295"/>
      <c r="AU514" s="2295"/>
      <c r="AV514" s="2295"/>
      <c r="AW514" s="2295"/>
      <c r="AX514" s="2296"/>
      <c r="AY514" s="2289"/>
      <c r="AZ514" s="2289"/>
      <c r="BA514" s="2289"/>
      <c r="BB514" s="2289"/>
      <c r="BC514" s="2289"/>
      <c r="BD514" s="2289"/>
      <c r="BE514" s="2289"/>
      <c r="BF514" s="2289"/>
      <c r="BG514" s="2289"/>
      <c r="BH514" s="2289"/>
      <c r="BI514" s="2289"/>
      <c r="BJ514" s="2289"/>
      <c r="BK514" s="2289"/>
      <c r="BL514" s="2289"/>
      <c r="BM514" s="2289"/>
      <c r="BN514" s="2289"/>
      <c r="BO514" s="2289"/>
      <c r="BP514" s="2289"/>
      <c r="BQ514" s="2289"/>
      <c r="BR514" s="2289"/>
    </row>
    <row r="515" spans="1:70" ht="15.75" customHeight="1">
      <c r="A515" s="2289"/>
      <c r="B515" s="2289"/>
      <c r="C515" s="2289"/>
      <c r="D515" s="2289"/>
      <c r="E515" s="2289"/>
      <c r="F515" s="2289"/>
      <c r="G515" s="2290"/>
      <c r="H515" s="2289"/>
      <c r="I515" s="2289"/>
      <c r="J515" s="2290"/>
      <c r="K515" s="2289"/>
      <c r="L515" s="2289"/>
      <c r="M515" s="2290"/>
      <c r="N515" s="2290"/>
      <c r="O515" s="2290"/>
      <c r="P515" s="2290"/>
      <c r="Q515" s="2289"/>
      <c r="R515" s="2289"/>
      <c r="S515" s="2289"/>
      <c r="T515" s="2291"/>
      <c r="U515" s="2289"/>
      <c r="V515" s="2289"/>
      <c r="W515" s="2289"/>
      <c r="X515" s="2292"/>
      <c r="Y515" s="2292"/>
      <c r="Z515" s="2289"/>
      <c r="AA515" s="2289"/>
      <c r="AB515" s="2289"/>
      <c r="AC515" s="2289"/>
      <c r="AD515" s="2293"/>
      <c r="AE515" s="2293"/>
      <c r="AF515" s="2293"/>
      <c r="AG515" s="2293"/>
      <c r="AH515" s="2289"/>
      <c r="AI515" s="2289"/>
      <c r="AJ515" s="2294"/>
      <c r="AK515" s="2294"/>
      <c r="AL515" s="2289"/>
      <c r="AM515" s="2289"/>
      <c r="AN515" s="2289"/>
      <c r="AO515" s="2289"/>
      <c r="AP515" s="2289"/>
      <c r="AQ515" s="2289"/>
      <c r="AR515" s="2294"/>
      <c r="AS515" s="2294"/>
      <c r="AT515" s="2295"/>
      <c r="AU515" s="2295"/>
      <c r="AV515" s="2295"/>
      <c r="AW515" s="2295"/>
      <c r="AX515" s="2296"/>
      <c r="AY515" s="2289"/>
      <c r="AZ515" s="2289"/>
      <c r="BA515" s="2289"/>
      <c r="BB515" s="2289"/>
      <c r="BC515" s="2289"/>
      <c r="BD515" s="2289"/>
      <c r="BE515" s="2289"/>
      <c r="BF515" s="2289"/>
      <c r="BG515" s="2289"/>
      <c r="BH515" s="2289"/>
      <c r="BI515" s="2289"/>
      <c r="BJ515" s="2289"/>
      <c r="BK515" s="2289"/>
      <c r="BL515" s="2289"/>
      <c r="BM515" s="2289"/>
      <c r="BN515" s="2289"/>
      <c r="BO515" s="2289"/>
      <c r="BP515" s="2289"/>
      <c r="BQ515" s="2289"/>
      <c r="BR515" s="2289"/>
    </row>
    <row r="516" spans="1:70" ht="15.75" customHeight="1">
      <c r="A516" s="2289"/>
      <c r="B516" s="2289"/>
      <c r="C516" s="2289"/>
      <c r="D516" s="2289"/>
      <c r="E516" s="2289"/>
      <c r="F516" s="2289"/>
      <c r="G516" s="2290"/>
      <c r="H516" s="2289"/>
      <c r="I516" s="2289"/>
      <c r="J516" s="2290"/>
      <c r="K516" s="2289"/>
      <c r="L516" s="2289"/>
      <c r="M516" s="2290"/>
      <c r="N516" s="2290"/>
      <c r="O516" s="2290"/>
      <c r="P516" s="2290"/>
      <c r="Q516" s="2289"/>
      <c r="R516" s="2289"/>
      <c r="S516" s="2289"/>
      <c r="T516" s="2291"/>
      <c r="U516" s="2289"/>
      <c r="V516" s="2289"/>
      <c r="W516" s="2289"/>
      <c r="X516" s="2292"/>
      <c r="Y516" s="2292"/>
      <c r="Z516" s="2289"/>
      <c r="AA516" s="2289"/>
      <c r="AB516" s="2289"/>
      <c r="AC516" s="2289"/>
      <c r="AD516" s="2293"/>
      <c r="AE516" s="2293"/>
      <c r="AF516" s="2293"/>
      <c r="AG516" s="2293"/>
      <c r="AH516" s="2289"/>
      <c r="AI516" s="2289"/>
      <c r="AJ516" s="2294"/>
      <c r="AK516" s="2294"/>
      <c r="AL516" s="2289"/>
      <c r="AM516" s="2289"/>
      <c r="AN516" s="2289"/>
      <c r="AO516" s="2289"/>
      <c r="AP516" s="2289"/>
      <c r="AQ516" s="2289"/>
      <c r="AR516" s="2294"/>
      <c r="AS516" s="2294"/>
      <c r="AT516" s="2295"/>
      <c r="AU516" s="2295"/>
      <c r="AV516" s="2295"/>
      <c r="AW516" s="2295"/>
      <c r="AX516" s="2296"/>
      <c r="AY516" s="2289"/>
      <c r="AZ516" s="2289"/>
      <c r="BA516" s="2289"/>
      <c r="BB516" s="2289"/>
      <c r="BC516" s="2289"/>
      <c r="BD516" s="2289"/>
      <c r="BE516" s="2289"/>
      <c r="BF516" s="2289"/>
      <c r="BG516" s="2289"/>
      <c r="BH516" s="2289"/>
      <c r="BI516" s="2289"/>
      <c r="BJ516" s="2289"/>
      <c r="BK516" s="2289"/>
      <c r="BL516" s="2289"/>
      <c r="BM516" s="2289"/>
      <c r="BN516" s="2289"/>
      <c r="BO516" s="2289"/>
      <c r="BP516" s="2289"/>
      <c r="BQ516" s="2289"/>
      <c r="BR516" s="2289"/>
    </row>
    <row r="517" spans="1:70" ht="15.75" customHeight="1">
      <c r="A517" s="2289"/>
      <c r="B517" s="2289"/>
      <c r="C517" s="2289"/>
      <c r="D517" s="2289"/>
      <c r="E517" s="2289"/>
      <c r="F517" s="2289"/>
      <c r="G517" s="2290"/>
      <c r="H517" s="2289"/>
      <c r="I517" s="2289"/>
      <c r="J517" s="2290"/>
      <c r="K517" s="2289"/>
      <c r="L517" s="2289"/>
      <c r="M517" s="2290"/>
      <c r="N517" s="2290"/>
      <c r="O517" s="2290"/>
      <c r="P517" s="2290"/>
      <c r="Q517" s="2289"/>
      <c r="R517" s="2289"/>
      <c r="S517" s="2289"/>
      <c r="T517" s="2291"/>
      <c r="U517" s="2289"/>
      <c r="V517" s="2289"/>
      <c r="W517" s="2289"/>
      <c r="X517" s="2292"/>
      <c r="Y517" s="2292"/>
      <c r="Z517" s="2289"/>
      <c r="AA517" s="2289"/>
      <c r="AB517" s="2289"/>
      <c r="AC517" s="2289"/>
      <c r="AD517" s="2293"/>
      <c r="AE517" s="2293"/>
      <c r="AF517" s="2293"/>
      <c r="AG517" s="2293"/>
      <c r="AH517" s="2289"/>
      <c r="AI517" s="2289"/>
      <c r="AJ517" s="2294"/>
      <c r="AK517" s="2294"/>
      <c r="AL517" s="2289"/>
      <c r="AM517" s="2289"/>
      <c r="AN517" s="2289"/>
      <c r="AO517" s="2289"/>
      <c r="AP517" s="2289"/>
      <c r="AQ517" s="2289"/>
      <c r="AR517" s="2294"/>
      <c r="AS517" s="2294"/>
      <c r="AT517" s="2295"/>
      <c r="AU517" s="2295"/>
      <c r="AV517" s="2295"/>
      <c r="AW517" s="2295"/>
      <c r="AX517" s="2296"/>
      <c r="AY517" s="2289"/>
      <c r="AZ517" s="2289"/>
      <c r="BA517" s="2289"/>
      <c r="BB517" s="2289"/>
      <c r="BC517" s="2289"/>
      <c r="BD517" s="2289"/>
      <c r="BE517" s="2289"/>
      <c r="BF517" s="2289"/>
      <c r="BG517" s="2289"/>
      <c r="BH517" s="2289"/>
      <c r="BI517" s="2289"/>
      <c r="BJ517" s="2289"/>
      <c r="BK517" s="2289"/>
      <c r="BL517" s="2289"/>
      <c r="BM517" s="2289"/>
      <c r="BN517" s="2289"/>
      <c r="BO517" s="2289"/>
      <c r="BP517" s="2289"/>
      <c r="BQ517" s="2289"/>
      <c r="BR517" s="2289"/>
    </row>
    <row r="518" spans="1:70" ht="15.75" customHeight="1">
      <c r="A518" s="2289"/>
      <c r="B518" s="2289"/>
      <c r="C518" s="2289"/>
      <c r="D518" s="2289"/>
      <c r="E518" s="2289"/>
      <c r="F518" s="2289"/>
      <c r="G518" s="2290"/>
      <c r="H518" s="2289"/>
      <c r="I518" s="2289"/>
      <c r="J518" s="2290"/>
      <c r="K518" s="2289"/>
      <c r="L518" s="2289"/>
      <c r="M518" s="2290"/>
      <c r="N518" s="2290"/>
      <c r="O518" s="2290"/>
      <c r="P518" s="2290"/>
      <c r="Q518" s="2289"/>
      <c r="R518" s="2289"/>
      <c r="S518" s="2289"/>
      <c r="T518" s="2291"/>
      <c r="U518" s="2289"/>
      <c r="V518" s="2289"/>
      <c r="W518" s="2289"/>
      <c r="X518" s="2292"/>
      <c r="Y518" s="2292"/>
      <c r="Z518" s="2289"/>
      <c r="AA518" s="2289"/>
      <c r="AB518" s="2289"/>
      <c r="AC518" s="2289"/>
      <c r="AD518" s="2293"/>
      <c r="AE518" s="2293"/>
      <c r="AF518" s="2293"/>
      <c r="AG518" s="2293"/>
      <c r="AH518" s="2289"/>
      <c r="AI518" s="2289"/>
      <c r="AJ518" s="2294"/>
      <c r="AK518" s="2294"/>
      <c r="AL518" s="2289"/>
      <c r="AM518" s="2289"/>
      <c r="AN518" s="2289"/>
      <c r="AO518" s="2289"/>
      <c r="AP518" s="2289"/>
      <c r="AQ518" s="2289"/>
      <c r="AR518" s="2294"/>
      <c r="AS518" s="2294"/>
      <c r="AT518" s="2295"/>
      <c r="AU518" s="2295"/>
      <c r="AV518" s="2295"/>
      <c r="AW518" s="2295"/>
      <c r="AX518" s="2296"/>
      <c r="AY518" s="2289"/>
      <c r="AZ518" s="2289"/>
      <c r="BA518" s="2289"/>
      <c r="BB518" s="2289"/>
      <c r="BC518" s="2289"/>
      <c r="BD518" s="2289"/>
      <c r="BE518" s="2289"/>
      <c r="BF518" s="2289"/>
      <c r="BG518" s="2289"/>
      <c r="BH518" s="2289"/>
      <c r="BI518" s="2289"/>
      <c r="BJ518" s="2289"/>
      <c r="BK518" s="2289"/>
      <c r="BL518" s="2289"/>
      <c r="BM518" s="2289"/>
      <c r="BN518" s="2289"/>
      <c r="BO518" s="2289"/>
      <c r="BP518" s="2289"/>
      <c r="BQ518" s="2289"/>
      <c r="BR518" s="2289"/>
    </row>
    <row r="519" spans="1:70" ht="15.75" customHeight="1">
      <c r="A519" s="2289"/>
      <c r="B519" s="2289"/>
      <c r="C519" s="2289"/>
      <c r="D519" s="2289"/>
      <c r="E519" s="2289"/>
      <c r="F519" s="2289"/>
      <c r="G519" s="2290"/>
      <c r="H519" s="2289"/>
      <c r="I519" s="2289"/>
      <c r="J519" s="2290"/>
      <c r="K519" s="2289"/>
      <c r="L519" s="2289"/>
      <c r="M519" s="2290"/>
      <c r="N519" s="2290"/>
      <c r="O519" s="2290"/>
      <c r="P519" s="2290"/>
      <c r="Q519" s="2289"/>
      <c r="R519" s="2289"/>
      <c r="S519" s="2289"/>
      <c r="T519" s="2291"/>
      <c r="U519" s="2289"/>
      <c r="V519" s="2289"/>
      <c r="W519" s="2289"/>
      <c r="X519" s="2292"/>
      <c r="Y519" s="2292"/>
      <c r="Z519" s="2289"/>
      <c r="AA519" s="2289"/>
      <c r="AB519" s="2289"/>
      <c r="AC519" s="2289"/>
      <c r="AD519" s="2293"/>
      <c r="AE519" s="2293"/>
      <c r="AF519" s="2293"/>
      <c r="AG519" s="2293"/>
      <c r="AH519" s="2289"/>
      <c r="AI519" s="2289"/>
      <c r="AJ519" s="2294"/>
      <c r="AK519" s="2294"/>
      <c r="AL519" s="2289"/>
      <c r="AM519" s="2289"/>
      <c r="AN519" s="2289"/>
      <c r="AO519" s="2289"/>
      <c r="AP519" s="2289"/>
      <c r="AQ519" s="2289"/>
      <c r="AR519" s="2294"/>
      <c r="AS519" s="2294"/>
      <c r="AT519" s="2295"/>
      <c r="AU519" s="2295"/>
      <c r="AV519" s="2295"/>
      <c r="AW519" s="2295"/>
      <c r="AX519" s="2296"/>
      <c r="AY519" s="2289"/>
      <c r="AZ519" s="2289"/>
      <c r="BA519" s="2289"/>
      <c r="BB519" s="2289"/>
      <c r="BC519" s="2289"/>
      <c r="BD519" s="2289"/>
      <c r="BE519" s="2289"/>
      <c r="BF519" s="2289"/>
      <c r="BG519" s="2289"/>
      <c r="BH519" s="2289"/>
      <c r="BI519" s="2289"/>
      <c r="BJ519" s="2289"/>
      <c r="BK519" s="2289"/>
      <c r="BL519" s="2289"/>
      <c r="BM519" s="2289"/>
      <c r="BN519" s="2289"/>
      <c r="BO519" s="2289"/>
      <c r="BP519" s="2289"/>
      <c r="BQ519" s="2289"/>
      <c r="BR519" s="2289"/>
    </row>
    <row r="520" spans="1:70" ht="15.75" customHeight="1">
      <c r="A520" s="2289"/>
      <c r="B520" s="2289"/>
      <c r="C520" s="2289"/>
      <c r="D520" s="2289"/>
      <c r="E520" s="2289"/>
      <c r="F520" s="2289"/>
      <c r="G520" s="2290"/>
      <c r="H520" s="2289"/>
      <c r="I520" s="2289"/>
      <c r="J520" s="2290"/>
      <c r="K520" s="2289"/>
      <c r="L520" s="2289"/>
      <c r="M520" s="2290"/>
      <c r="N520" s="2290"/>
      <c r="O520" s="2290"/>
      <c r="P520" s="2290"/>
      <c r="Q520" s="2289"/>
      <c r="R520" s="2289"/>
      <c r="S520" s="2289"/>
      <c r="T520" s="2291"/>
      <c r="U520" s="2289"/>
      <c r="V520" s="2289"/>
      <c r="W520" s="2289"/>
      <c r="X520" s="2292"/>
      <c r="Y520" s="2292"/>
      <c r="Z520" s="2289"/>
      <c r="AA520" s="2289"/>
      <c r="AB520" s="2289"/>
      <c r="AC520" s="2289"/>
      <c r="AD520" s="2293"/>
      <c r="AE520" s="2293"/>
      <c r="AF520" s="2293"/>
      <c r="AG520" s="2293"/>
      <c r="AH520" s="2289"/>
      <c r="AI520" s="2289"/>
      <c r="AJ520" s="2294"/>
      <c r="AK520" s="2294"/>
      <c r="AL520" s="2289"/>
      <c r="AM520" s="2289"/>
      <c r="AN520" s="2289"/>
      <c r="AO520" s="2289"/>
      <c r="AP520" s="2289"/>
      <c r="AQ520" s="2289"/>
      <c r="AR520" s="2294"/>
      <c r="AS520" s="2294"/>
      <c r="AT520" s="2295"/>
      <c r="AU520" s="2295"/>
      <c r="AV520" s="2295"/>
      <c r="AW520" s="2295"/>
      <c r="AX520" s="2296"/>
      <c r="AY520" s="2289"/>
      <c r="AZ520" s="2289"/>
      <c r="BA520" s="2289"/>
      <c r="BB520" s="2289"/>
      <c r="BC520" s="2289"/>
      <c r="BD520" s="2289"/>
      <c r="BE520" s="2289"/>
      <c r="BF520" s="2289"/>
      <c r="BG520" s="2289"/>
      <c r="BH520" s="2289"/>
      <c r="BI520" s="2289"/>
      <c r="BJ520" s="2289"/>
      <c r="BK520" s="2289"/>
      <c r="BL520" s="2289"/>
      <c r="BM520" s="2289"/>
      <c r="BN520" s="2289"/>
      <c r="BO520" s="2289"/>
      <c r="BP520" s="2289"/>
      <c r="BQ520" s="2289"/>
      <c r="BR520" s="2289"/>
    </row>
    <row r="521" spans="1:70" ht="15.75" customHeight="1">
      <c r="A521" s="2289"/>
      <c r="B521" s="2289"/>
      <c r="C521" s="2289"/>
      <c r="D521" s="2289"/>
      <c r="E521" s="2289"/>
      <c r="F521" s="2289"/>
      <c r="G521" s="2290"/>
      <c r="H521" s="2289"/>
      <c r="I521" s="2289"/>
      <c r="J521" s="2290"/>
      <c r="K521" s="2289"/>
      <c r="L521" s="2289"/>
      <c r="M521" s="2290"/>
      <c r="N521" s="2290"/>
      <c r="O521" s="2290"/>
      <c r="P521" s="2290"/>
      <c r="Q521" s="2289"/>
      <c r="R521" s="2289"/>
      <c r="S521" s="2289"/>
      <c r="T521" s="2291"/>
      <c r="U521" s="2289"/>
      <c r="V521" s="2289"/>
      <c r="W521" s="2289"/>
      <c r="X521" s="2292"/>
      <c r="Y521" s="2292"/>
      <c r="Z521" s="2289"/>
      <c r="AA521" s="2289"/>
      <c r="AB521" s="2289"/>
      <c r="AC521" s="2289"/>
      <c r="AD521" s="2293"/>
      <c r="AE521" s="2293"/>
      <c r="AF521" s="2293"/>
      <c r="AG521" s="2293"/>
      <c r="AH521" s="2289"/>
      <c r="AI521" s="2289"/>
      <c r="AJ521" s="2294"/>
      <c r="AK521" s="2294"/>
      <c r="AL521" s="2289"/>
      <c r="AM521" s="2289"/>
      <c r="AN521" s="2289"/>
      <c r="AO521" s="2289"/>
      <c r="AP521" s="2289"/>
      <c r="AQ521" s="2289"/>
      <c r="AR521" s="2294"/>
      <c r="AS521" s="2294"/>
      <c r="AT521" s="2295"/>
      <c r="AU521" s="2295"/>
      <c r="AV521" s="2295"/>
      <c r="AW521" s="2295"/>
      <c r="AX521" s="2296"/>
      <c r="AY521" s="2289"/>
      <c r="AZ521" s="2289"/>
      <c r="BA521" s="2289"/>
      <c r="BB521" s="2289"/>
      <c r="BC521" s="2289"/>
      <c r="BD521" s="2289"/>
      <c r="BE521" s="2289"/>
      <c r="BF521" s="2289"/>
      <c r="BG521" s="2289"/>
      <c r="BH521" s="2289"/>
      <c r="BI521" s="2289"/>
      <c r="BJ521" s="2289"/>
      <c r="BK521" s="2289"/>
      <c r="BL521" s="2289"/>
      <c r="BM521" s="2289"/>
      <c r="BN521" s="2289"/>
      <c r="BO521" s="2289"/>
      <c r="BP521" s="2289"/>
      <c r="BQ521" s="2289"/>
      <c r="BR521" s="2289"/>
    </row>
    <row r="522" spans="1:70" ht="15.75" customHeight="1">
      <c r="A522" s="2289"/>
      <c r="B522" s="2289"/>
      <c r="C522" s="2289"/>
      <c r="D522" s="2289"/>
      <c r="E522" s="2289"/>
      <c r="F522" s="2289"/>
      <c r="G522" s="2290"/>
      <c r="H522" s="2289"/>
      <c r="I522" s="2289"/>
      <c r="J522" s="2290"/>
      <c r="K522" s="2289"/>
      <c r="L522" s="2289"/>
      <c r="M522" s="2290"/>
      <c r="N522" s="2290"/>
      <c r="O522" s="2290"/>
      <c r="P522" s="2290"/>
      <c r="Q522" s="2289"/>
      <c r="R522" s="2289"/>
      <c r="S522" s="2289"/>
      <c r="T522" s="2291"/>
      <c r="U522" s="2289"/>
      <c r="V522" s="2289"/>
      <c r="W522" s="2289"/>
      <c r="X522" s="2292"/>
      <c r="Y522" s="2292"/>
      <c r="Z522" s="2289"/>
      <c r="AA522" s="2289"/>
      <c r="AB522" s="2289"/>
      <c r="AC522" s="2289"/>
      <c r="AD522" s="2293"/>
      <c r="AE522" s="2293"/>
      <c r="AF522" s="2293"/>
      <c r="AG522" s="2293"/>
      <c r="AH522" s="2289"/>
      <c r="AI522" s="2289"/>
      <c r="AJ522" s="2294"/>
      <c r="AK522" s="2294"/>
      <c r="AL522" s="2289"/>
      <c r="AM522" s="2289"/>
      <c r="AN522" s="2289"/>
      <c r="AO522" s="2289"/>
      <c r="AP522" s="2289"/>
      <c r="AQ522" s="2289"/>
      <c r="AR522" s="2294"/>
      <c r="AS522" s="2294"/>
      <c r="AT522" s="2295"/>
      <c r="AU522" s="2295"/>
      <c r="AV522" s="2295"/>
      <c r="AW522" s="2295"/>
      <c r="AX522" s="2296"/>
      <c r="AY522" s="2289"/>
      <c r="AZ522" s="2289"/>
      <c r="BA522" s="2289"/>
      <c r="BB522" s="2289"/>
      <c r="BC522" s="2289"/>
      <c r="BD522" s="2289"/>
      <c r="BE522" s="2289"/>
      <c r="BF522" s="2289"/>
      <c r="BG522" s="2289"/>
      <c r="BH522" s="2289"/>
      <c r="BI522" s="2289"/>
      <c r="BJ522" s="2289"/>
      <c r="BK522" s="2289"/>
      <c r="BL522" s="2289"/>
      <c r="BM522" s="2289"/>
      <c r="BN522" s="2289"/>
      <c r="BO522" s="2289"/>
      <c r="BP522" s="2289"/>
      <c r="BQ522" s="2289"/>
      <c r="BR522" s="2289"/>
    </row>
    <row r="523" spans="1:70" ht="15.75" customHeight="1">
      <c r="A523" s="2289"/>
      <c r="B523" s="2289"/>
      <c r="C523" s="2289"/>
      <c r="D523" s="2289"/>
      <c r="E523" s="2289"/>
      <c r="F523" s="2289"/>
      <c r="G523" s="2290"/>
      <c r="H523" s="2289"/>
      <c r="I523" s="2289"/>
      <c r="J523" s="2290"/>
      <c r="K523" s="2289"/>
      <c r="L523" s="2289"/>
      <c r="M523" s="2290"/>
      <c r="N523" s="2290"/>
      <c r="O523" s="2290"/>
      <c r="P523" s="2290"/>
      <c r="Q523" s="2289"/>
      <c r="R523" s="2289"/>
      <c r="S523" s="2289"/>
      <c r="T523" s="2291"/>
      <c r="U523" s="2289"/>
      <c r="V523" s="2289"/>
      <c r="W523" s="2289"/>
      <c r="X523" s="2292"/>
      <c r="Y523" s="2292"/>
      <c r="Z523" s="2289"/>
      <c r="AA523" s="2289"/>
      <c r="AB523" s="2289"/>
      <c r="AC523" s="2289"/>
      <c r="AD523" s="2293"/>
      <c r="AE523" s="2293"/>
      <c r="AF523" s="2293"/>
      <c r="AG523" s="2293"/>
      <c r="AH523" s="2289"/>
      <c r="AI523" s="2289"/>
      <c r="AJ523" s="2294"/>
      <c r="AK523" s="2294"/>
      <c r="AL523" s="2289"/>
      <c r="AM523" s="2289"/>
      <c r="AN523" s="2289"/>
      <c r="AO523" s="2289"/>
      <c r="AP523" s="2289"/>
      <c r="AQ523" s="2289"/>
      <c r="AR523" s="2294"/>
      <c r="AS523" s="2294"/>
      <c r="AT523" s="2295"/>
      <c r="AU523" s="2295"/>
      <c r="AV523" s="2295"/>
      <c r="AW523" s="2295"/>
      <c r="AX523" s="2296"/>
      <c r="AY523" s="2289"/>
      <c r="AZ523" s="2289"/>
      <c r="BA523" s="2289"/>
      <c r="BB523" s="2289"/>
      <c r="BC523" s="2289"/>
      <c r="BD523" s="2289"/>
      <c r="BE523" s="2289"/>
      <c r="BF523" s="2289"/>
      <c r="BG523" s="2289"/>
      <c r="BH523" s="2289"/>
      <c r="BI523" s="2289"/>
      <c r="BJ523" s="2289"/>
      <c r="BK523" s="2289"/>
      <c r="BL523" s="2289"/>
      <c r="BM523" s="2289"/>
      <c r="BN523" s="2289"/>
      <c r="BO523" s="2289"/>
      <c r="BP523" s="2289"/>
      <c r="BQ523" s="2289"/>
      <c r="BR523" s="2289"/>
    </row>
    <row r="524" spans="1:70" ht="15.75" customHeight="1">
      <c r="A524" s="2289"/>
      <c r="B524" s="2289"/>
      <c r="C524" s="2289"/>
      <c r="D524" s="2289"/>
      <c r="E524" s="2289"/>
      <c r="F524" s="2289"/>
      <c r="G524" s="2290"/>
      <c r="H524" s="2289"/>
      <c r="I524" s="2289"/>
      <c r="J524" s="2290"/>
      <c r="K524" s="2289"/>
      <c r="L524" s="2289"/>
      <c r="M524" s="2290"/>
      <c r="N524" s="2290"/>
      <c r="O524" s="2290"/>
      <c r="P524" s="2290"/>
      <c r="Q524" s="2289"/>
      <c r="R524" s="2289"/>
      <c r="S524" s="2289"/>
      <c r="T524" s="2291"/>
      <c r="U524" s="2289"/>
      <c r="V524" s="2289"/>
      <c r="W524" s="2289"/>
      <c r="X524" s="2292"/>
      <c r="Y524" s="2292"/>
      <c r="Z524" s="2289"/>
      <c r="AA524" s="2289"/>
      <c r="AB524" s="2289"/>
      <c r="AC524" s="2289"/>
      <c r="AD524" s="2293"/>
      <c r="AE524" s="2293"/>
      <c r="AF524" s="2293"/>
      <c r="AG524" s="2293"/>
      <c r="AH524" s="2289"/>
      <c r="AI524" s="2289"/>
      <c r="AJ524" s="2294"/>
      <c r="AK524" s="2294"/>
      <c r="AL524" s="2289"/>
      <c r="AM524" s="2289"/>
      <c r="AN524" s="2289"/>
      <c r="AO524" s="2289"/>
      <c r="AP524" s="2289"/>
      <c r="AQ524" s="2289"/>
      <c r="AR524" s="2294"/>
      <c r="AS524" s="2294"/>
      <c r="AT524" s="2295"/>
      <c r="AU524" s="2295"/>
      <c r="AV524" s="2295"/>
      <c r="AW524" s="2295"/>
      <c r="AX524" s="2296"/>
      <c r="AY524" s="2289"/>
      <c r="AZ524" s="2289"/>
      <c r="BA524" s="2289"/>
      <c r="BB524" s="2289"/>
      <c r="BC524" s="2289"/>
      <c r="BD524" s="2289"/>
      <c r="BE524" s="2289"/>
      <c r="BF524" s="2289"/>
      <c r="BG524" s="2289"/>
      <c r="BH524" s="2289"/>
      <c r="BI524" s="2289"/>
      <c r="BJ524" s="2289"/>
      <c r="BK524" s="2289"/>
      <c r="BL524" s="2289"/>
      <c r="BM524" s="2289"/>
      <c r="BN524" s="2289"/>
      <c r="BO524" s="2289"/>
      <c r="BP524" s="2289"/>
      <c r="BQ524" s="2289"/>
      <c r="BR524" s="2289"/>
    </row>
    <row r="525" spans="1:70" ht="15.75" customHeight="1">
      <c r="A525" s="2289"/>
      <c r="B525" s="2289"/>
      <c r="C525" s="2289"/>
      <c r="D525" s="2289"/>
      <c r="E525" s="2289"/>
      <c r="F525" s="2289"/>
      <c r="G525" s="2290"/>
      <c r="H525" s="2289"/>
      <c r="I525" s="2289"/>
      <c r="J525" s="2290"/>
      <c r="K525" s="2289"/>
      <c r="L525" s="2289"/>
      <c r="M525" s="2290"/>
      <c r="N525" s="2290"/>
      <c r="O525" s="2290"/>
      <c r="P525" s="2290"/>
      <c r="Q525" s="2289"/>
      <c r="R525" s="2289"/>
      <c r="S525" s="2289"/>
      <c r="T525" s="2291"/>
      <c r="U525" s="2289"/>
      <c r="V525" s="2289"/>
      <c r="W525" s="2289"/>
      <c r="X525" s="2292"/>
      <c r="Y525" s="2292"/>
      <c r="Z525" s="2289"/>
      <c r="AA525" s="2289"/>
      <c r="AB525" s="2289"/>
      <c r="AC525" s="2289"/>
      <c r="AD525" s="2293"/>
      <c r="AE525" s="2293"/>
      <c r="AF525" s="2293"/>
      <c r="AG525" s="2293"/>
      <c r="AH525" s="2289"/>
      <c r="AI525" s="2289"/>
      <c r="AJ525" s="2294"/>
      <c r="AK525" s="2294"/>
      <c r="AL525" s="2289"/>
      <c r="AM525" s="2289"/>
      <c r="AN525" s="2289"/>
      <c r="AO525" s="2289"/>
      <c r="AP525" s="2289"/>
      <c r="AQ525" s="2289"/>
      <c r="AR525" s="2294"/>
      <c r="AS525" s="2294"/>
      <c r="AT525" s="2295"/>
      <c r="AU525" s="2295"/>
      <c r="AV525" s="2295"/>
      <c r="AW525" s="2295"/>
      <c r="AX525" s="2296"/>
      <c r="AY525" s="2289"/>
      <c r="AZ525" s="2289"/>
      <c r="BA525" s="2289"/>
      <c r="BB525" s="2289"/>
      <c r="BC525" s="2289"/>
      <c r="BD525" s="2289"/>
      <c r="BE525" s="2289"/>
      <c r="BF525" s="2289"/>
      <c r="BG525" s="2289"/>
      <c r="BH525" s="2289"/>
      <c r="BI525" s="2289"/>
      <c r="BJ525" s="2289"/>
      <c r="BK525" s="2289"/>
      <c r="BL525" s="2289"/>
      <c r="BM525" s="2289"/>
      <c r="BN525" s="2289"/>
      <c r="BO525" s="2289"/>
      <c r="BP525" s="2289"/>
      <c r="BQ525" s="2289"/>
      <c r="BR525" s="2289"/>
    </row>
    <row r="526" spans="1:70" ht="15.75" customHeight="1">
      <c r="A526" s="2289"/>
      <c r="B526" s="2289"/>
      <c r="C526" s="2289"/>
      <c r="D526" s="2289"/>
      <c r="E526" s="2289"/>
      <c r="F526" s="2289"/>
      <c r="G526" s="2290"/>
      <c r="H526" s="2289"/>
      <c r="I526" s="2289"/>
      <c r="J526" s="2290"/>
      <c r="K526" s="2289"/>
      <c r="L526" s="2289"/>
      <c r="M526" s="2290"/>
      <c r="N526" s="2290"/>
      <c r="O526" s="2290"/>
      <c r="P526" s="2290"/>
      <c r="Q526" s="2289"/>
      <c r="R526" s="2289"/>
      <c r="S526" s="2289"/>
      <c r="T526" s="2291"/>
      <c r="U526" s="2289"/>
      <c r="V526" s="2289"/>
      <c r="W526" s="2289"/>
      <c r="X526" s="2292"/>
      <c r="Y526" s="2292"/>
      <c r="Z526" s="2289"/>
      <c r="AA526" s="2289"/>
      <c r="AB526" s="2289"/>
      <c r="AC526" s="2289"/>
      <c r="AD526" s="2293"/>
      <c r="AE526" s="2293"/>
      <c r="AF526" s="2293"/>
      <c r="AG526" s="2293"/>
      <c r="AH526" s="2289"/>
      <c r="AI526" s="2289"/>
      <c r="AJ526" s="2294"/>
      <c r="AK526" s="2294"/>
      <c r="AL526" s="2289"/>
      <c r="AM526" s="2289"/>
      <c r="AN526" s="2289"/>
      <c r="AO526" s="2289"/>
      <c r="AP526" s="2289"/>
      <c r="AQ526" s="2289"/>
      <c r="AR526" s="2294"/>
      <c r="AS526" s="2294"/>
      <c r="AT526" s="2295"/>
      <c r="AU526" s="2295"/>
      <c r="AV526" s="2295"/>
      <c r="AW526" s="2295"/>
      <c r="AX526" s="2296"/>
      <c r="AY526" s="2289"/>
      <c r="AZ526" s="2289"/>
      <c r="BA526" s="2289"/>
      <c r="BB526" s="2289"/>
      <c r="BC526" s="2289"/>
      <c r="BD526" s="2289"/>
      <c r="BE526" s="2289"/>
      <c r="BF526" s="2289"/>
      <c r="BG526" s="2289"/>
      <c r="BH526" s="2289"/>
      <c r="BI526" s="2289"/>
      <c r="BJ526" s="2289"/>
      <c r="BK526" s="2289"/>
      <c r="BL526" s="2289"/>
      <c r="BM526" s="2289"/>
      <c r="BN526" s="2289"/>
      <c r="BO526" s="2289"/>
      <c r="BP526" s="2289"/>
      <c r="BQ526" s="2289"/>
      <c r="BR526" s="2289"/>
    </row>
    <row r="527" spans="1:70" ht="15.75" customHeight="1">
      <c r="A527" s="2289"/>
      <c r="B527" s="2289"/>
      <c r="C527" s="2289"/>
      <c r="D527" s="2289"/>
      <c r="E527" s="2289"/>
      <c r="F527" s="2289"/>
      <c r="G527" s="2290"/>
      <c r="H527" s="2289"/>
      <c r="I527" s="2289"/>
      <c r="J527" s="2290"/>
      <c r="K527" s="2289"/>
      <c r="L527" s="2289"/>
      <c r="M527" s="2290"/>
      <c r="N527" s="2290"/>
      <c r="O527" s="2290"/>
      <c r="P527" s="2290"/>
      <c r="Q527" s="2289"/>
      <c r="R527" s="2289"/>
      <c r="S527" s="2289"/>
      <c r="T527" s="2291"/>
      <c r="U527" s="2289"/>
      <c r="V527" s="2289"/>
      <c r="W527" s="2289"/>
      <c r="X527" s="2292"/>
      <c r="Y527" s="2292"/>
      <c r="Z527" s="2289"/>
      <c r="AA527" s="2289"/>
      <c r="AB527" s="2289"/>
      <c r="AC527" s="2289"/>
      <c r="AD527" s="2293"/>
      <c r="AE527" s="2293"/>
      <c r="AF527" s="2293"/>
      <c r="AG527" s="2293"/>
      <c r="AH527" s="2289"/>
      <c r="AI527" s="2289"/>
      <c r="AJ527" s="2294"/>
      <c r="AK527" s="2294"/>
      <c r="AL527" s="2289"/>
      <c r="AM527" s="2289"/>
      <c r="AN527" s="2289"/>
      <c r="AO527" s="2289"/>
      <c r="AP527" s="2289"/>
      <c r="AQ527" s="2289"/>
      <c r="AR527" s="2294"/>
      <c r="AS527" s="2294"/>
      <c r="AT527" s="2295"/>
      <c r="AU527" s="2295"/>
      <c r="AV527" s="2295"/>
      <c r="AW527" s="2295"/>
      <c r="AX527" s="2296"/>
      <c r="AY527" s="2289"/>
      <c r="AZ527" s="2289"/>
      <c r="BA527" s="2289"/>
      <c r="BB527" s="2289"/>
      <c r="BC527" s="2289"/>
      <c r="BD527" s="2289"/>
      <c r="BE527" s="2289"/>
      <c r="BF527" s="2289"/>
      <c r="BG527" s="2289"/>
      <c r="BH527" s="2289"/>
      <c r="BI527" s="2289"/>
      <c r="BJ527" s="2289"/>
      <c r="BK527" s="2289"/>
      <c r="BL527" s="2289"/>
      <c r="BM527" s="2289"/>
      <c r="BN527" s="2289"/>
      <c r="BO527" s="2289"/>
      <c r="BP527" s="2289"/>
      <c r="BQ527" s="2289"/>
      <c r="BR527" s="2289"/>
    </row>
    <row r="528" spans="1:70" ht="15.75" customHeight="1">
      <c r="A528" s="2289"/>
      <c r="B528" s="2289"/>
      <c r="C528" s="2289"/>
      <c r="D528" s="2289"/>
      <c r="E528" s="2289"/>
      <c r="F528" s="2289"/>
      <c r="G528" s="2290"/>
      <c r="H528" s="2289"/>
      <c r="I528" s="2289"/>
      <c r="J528" s="2290"/>
      <c r="K528" s="2289"/>
      <c r="L528" s="2289"/>
      <c r="M528" s="2290"/>
      <c r="N528" s="2290"/>
      <c r="O528" s="2290"/>
      <c r="P528" s="2290"/>
      <c r="Q528" s="2289"/>
      <c r="R528" s="2289"/>
      <c r="S528" s="2289"/>
      <c r="T528" s="2291"/>
      <c r="U528" s="2289"/>
      <c r="V528" s="2289"/>
      <c r="W528" s="2289"/>
      <c r="X528" s="2292"/>
      <c r="Y528" s="2292"/>
      <c r="Z528" s="2289"/>
      <c r="AA528" s="2289"/>
      <c r="AB528" s="2289"/>
      <c r="AC528" s="2289"/>
      <c r="AD528" s="2293"/>
      <c r="AE528" s="2293"/>
      <c r="AF528" s="2293"/>
      <c r="AG528" s="2293"/>
      <c r="AH528" s="2289"/>
      <c r="AI528" s="2289"/>
      <c r="AJ528" s="2294"/>
      <c r="AK528" s="2294"/>
      <c r="AL528" s="2289"/>
      <c r="AM528" s="2289"/>
      <c r="AN528" s="2289"/>
      <c r="AO528" s="2289"/>
      <c r="AP528" s="2289"/>
      <c r="AQ528" s="2289"/>
      <c r="AR528" s="2294"/>
      <c r="AS528" s="2294"/>
      <c r="AT528" s="2295"/>
      <c r="AU528" s="2295"/>
      <c r="AV528" s="2295"/>
      <c r="AW528" s="2295"/>
      <c r="AX528" s="2296"/>
      <c r="AY528" s="2289"/>
      <c r="AZ528" s="2289"/>
      <c r="BA528" s="2289"/>
      <c r="BB528" s="2289"/>
      <c r="BC528" s="2289"/>
      <c r="BD528" s="2289"/>
      <c r="BE528" s="2289"/>
      <c r="BF528" s="2289"/>
      <c r="BG528" s="2289"/>
      <c r="BH528" s="2289"/>
      <c r="BI528" s="2289"/>
      <c r="BJ528" s="2289"/>
      <c r="BK528" s="2289"/>
      <c r="BL528" s="2289"/>
      <c r="BM528" s="2289"/>
      <c r="BN528" s="2289"/>
      <c r="BO528" s="2289"/>
      <c r="BP528" s="2289"/>
      <c r="BQ528" s="2289"/>
      <c r="BR528" s="2289"/>
    </row>
    <row r="529" spans="1:70" ht="15.75" customHeight="1">
      <c r="A529" s="2289"/>
      <c r="B529" s="2289"/>
      <c r="C529" s="2289"/>
      <c r="D529" s="2289"/>
      <c r="E529" s="2289"/>
      <c r="F529" s="2289"/>
      <c r="G529" s="2290"/>
      <c r="H529" s="2289"/>
      <c r="I529" s="2289"/>
      <c r="J529" s="2290"/>
      <c r="K529" s="2289"/>
      <c r="L529" s="2289"/>
      <c r="M529" s="2290"/>
      <c r="N529" s="2290"/>
      <c r="O529" s="2290"/>
      <c r="P529" s="2290"/>
      <c r="Q529" s="2289"/>
      <c r="R529" s="2289"/>
      <c r="S529" s="2289"/>
      <c r="T529" s="2291"/>
      <c r="U529" s="2289"/>
      <c r="V529" s="2289"/>
      <c r="W529" s="2289"/>
      <c r="X529" s="2292"/>
      <c r="Y529" s="2292"/>
      <c r="Z529" s="2289"/>
      <c r="AA529" s="2289"/>
      <c r="AB529" s="2289"/>
      <c r="AC529" s="2289"/>
      <c r="AD529" s="2293"/>
      <c r="AE529" s="2293"/>
      <c r="AF529" s="2293"/>
      <c r="AG529" s="2293"/>
      <c r="AH529" s="2289"/>
      <c r="AI529" s="2289"/>
      <c r="AJ529" s="2294"/>
      <c r="AK529" s="2294"/>
      <c r="AL529" s="2289"/>
      <c r="AM529" s="2289"/>
      <c r="AN529" s="2289"/>
      <c r="AO529" s="2289"/>
      <c r="AP529" s="2289"/>
      <c r="AQ529" s="2289"/>
      <c r="AR529" s="2294"/>
      <c r="AS529" s="2294"/>
      <c r="AT529" s="2295"/>
      <c r="AU529" s="2295"/>
      <c r="AV529" s="2295"/>
      <c r="AW529" s="2295"/>
      <c r="AX529" s="2296"/>
      <c r="AY529" s="2289"/>
      <c r="AZ529" s="2289"/>
      <c r="BA529" s="2289"/>
      <c r="BB529" s="2289"/>
      <c r="BC529" s="2289"/>
      <c r="BD529" s="2289"/>
      <c r="BE529" s="2289"/>
      <c r="BF529" s="2289"/>
      <c r="BG529" s="2289"/>
      <c r="BH529" s="2289"/>
      <c r="BI529" s="2289"/>
      <c r="BJ529" s="2289"/>
      <c r="BK529" s="2289"/>
      <c r="BL529" s="2289"/>
      <c r="BM529" s="2289"/>
      <c r="BN529" s="2289"/>
      <c r="BO529" s="2289"/>
      <c r="BP529" s="2289"/>
      <c r="BQ529" s="2289"/>
      <c r="BR529" s="2289"/>
    </row>
    <row r="530" spans="1:70" ht="15.75" customHeight="1">
      <c r="A530" s="2289"/>
      <c r="B530" s="2289"/>
      <c r="C530" s="2289"/>
      <c r="D530" s="2289"/>
      <c r="E530" s="2289"/>
      <c r="F530" s="2289"/>
      <c r="G530" s="2290"/>
      <c r="H530" s="2289"/>
      <c r="I530" s="2289"/>
      <c r="J530" s="2290"/>
      <c r="K530" s="2289"/>
      <c r="L530" s="2289"/>
      <c r="M530" s="2290"/>
      <c r="N530" s="2290"/>
      <c r="O530" s="2290"/>
      <c r="P530" s="2290"/>
      <c r="Q530" s="2289"/>
      <c r="R530" s="2289"/>
      <c r="S530" s="2289"/>
      <c r="T530" s="2291"/>
      <c r="U530" s="2289"/>
      <c r="V530" s="2289"/>
      <c r="W530" s="2289"/>
      <c r="X530" s="2292"/>
      <c r="Y530" s="2292"/>
      <c r="Z530" s="2289"/>
      <c r="AA530" s="2289"/>
      <c r="AB530" s="2289"/>
      <c r="AC530" s="2289"/>
      <c r="AD530" s="2293"/>
      <c r="AE530" s="2293"/>
      <c r="AF530" s="2293"/>
      <c r="AG530" s="2293"/>
      <c r="AH530" s="2289"/>
      <c r="AI530" s="2289"/>
      <c r="AJ530" s="2294"/>
      <c r="AK530" s="2294"/>
      <c r="AL530" s="2289"/>
      <c r="AM530" s="2289"/>
      <c r="AN530" s="2289"/>
      <c r="AO530" s="2289"/>
      <c r="AP530" s="2289"/>
      <c r="AQ530" s="2289"/>
      <c r="AR530" s="2294"/>
      <c r="AS530" s="2294"/>
      <c r="AT530" s="2295"/>
      <c r="AU530" s="2295"/>
      <c r="AV530" s="2295"/>
      <c r="AW530" s="2295"/>
      <c r="AX530" s="2296"/>
      <c r="AY530" s="2289"/>
      <c r="AZ530" s="2289"/>
      <c r="BA530" s="2289"/>
      <c r="BB530" s="2289"/>
      <c r="BC530" s="2289"/>
      <c r="BD530" s="2289"/>
      <c r="BE530" s="2289"/>
      <c r="BF530" s="2289"/>
      <c r="BG530" s="2289"/>
      <c r="BH530" s="2289"/>
      <c r="BI530" s="2289"/>
      <c r="BJ530" s="2289"/>
      <c r="BK530" s="2289"/>
      <c r="BL530" s="2289"/>
      <c r="BM530" s="2289"/>
      <c r="BN530" s="2289"/>
      <c r="BO530" s="2289"/>
      <c r="BP530" s="2289"/>
      <c r="BQ530" s="2289"/>
      <c r="BR530" s="2289"/>
    </row>
    <row r="531" spans="1:70" ht="15.75" customHeight="1">
      <c r="A531" s="2289"/>
      <c r="B531" s="2289"/>
      <c r="C531" s="2289"/>
      <c r="D531" s="2289"/>
      <c r="E531" s="2289"/>
      <c r="F531" s="2289"/>
      <c r="G531" s="2290"/>
      <c r="H531" s="2289"/>
      <c r="I531" s="2289"/>
      <c r="J531" s="2290"/>
      <c r="K531" s="2289"/>
      <c r="L531" s="2289"/>
      <c r="M531" s="2290"/>
      <c r="N531" s="2290"/>
      <c r="O531" s="2290"/>
      <c r="P531" s="2290"/>
      <c r="Q531" s="2289"/>
      <c r="R531" s="2289"/>
      <c r="S531" s="2289"/>
      <c r="T531" s="2291"/>
      <c r="U531" s="2289"/>
      <c r="V531" s="2289"/>
      <c r="W531" s="2289"/>
      <c r="X531" s="2292"/>
      <c r="Y531" s="2292"/>
      <c r="Z531" s="2289"/>
      <c r="AA531" s="2289"/>
      <c r="AB531" s="2289"/>
      <c r="AC531" s="2289"/>
      <c r="AD531" s="2293"/>
      <c r="AE531" s="2293"/>
      <c r="AF531" s="2293"/>
      <c r="AG531" s="2293"/>
      <c r="AH531" s="2289"/>
      <c r="AI531" s="2289"/>
      <c r="AJ531" s="2294"/>
      <c r="AK531" s="2294"/>
      <c r="AL531" s="2289"/>
      <c r="AM531" s="2289"/>
      <c r="AN531" s="2289"/>
      <c r="AO531" s="2289"/>
      <c r="AP531" s="2289"/>
      <c r="AQ531" s="2289"/>
      <c r="AR531" s="2294"/>
      <c r="AS531" s="2294"/>
      <c r="AT531" s="2295"/>
      <c r="AU531" s="2295"/>
      <c r="AV531" s="2295"/>
      <c r="AW531" s="2295"/>
      <c r="AX531" s="2296"/>
      <c r="AY531" s="2289"/>
      <c r="AZ531" s="2289"/>
      <c r="BA531" s="2289"/>
      <c r="BB531" s="2289"/>
      <c r="BC531" s="2289"/>
      <c r="BD531" s="2289"/>
      <c r="BE531" s="2289"/>
      <c r="BF531" s="2289"/>
      <c r="BG531" s="2289"/>
      <c r="BH531" s="2289"/>
      <c r="BI531" s="2289"/>
      <c r="BJ531" s="2289"/>
      <c r="BK531" s="2289"/>
      <c r="BL531" s="2289"/>
      <c r="BM531" s="2289"/>
      <c r="BN531" s="2289"/>
      <c r="BO531" s="2289"/>
      <c r="BP531" s="2289"/>
      <c r="BQ531" s="2289"/>
      <c r="BR531" s="2289"/>
    </row>
    <row r="532" spans="1:70" ht="15.75" customHeight="1">
      <c r="A532" s="2289"/>
      <c r="B532" s="2289"/>
      <c r="C532" s="2289"/>
      <c r="D532" s="2289"/>
      <c r="E532" s="2289"/>
      <c r="F532" s="2289"/>
      <c r="G532" s="2290"/>
      <c r="H532" s="2289"/>
      <c r="I532" s="2289"/>
      <c r="J532" s="2290"/>
      <c r="K532" s="2289"/>
      <c r="L532" s="2289"/>
      <c r="M532" s="2290"/>
      <c r="N532" s="2290"/>
      <c r="O532" s="2290"/>
      <c r="P532" s="2290"/>
      <c r="Q532" s="2289"/>
      <c r="R532" s="2289"/>
      <c r="S532" s="2289"/>
      <c r="T532" s="2291"/>
      <c r="U532" s="2289"/>
      <c r="V532" s="2289"/>
      <c r="W532" s="2289"/>
      <c r="X532" s="2292"/>
      <c r="Y532" s="2292"/>
      <c r="Z532" s="2289"/>
      <c r="AA532" s="2289"/>
      <c r="AB532" s="2289"/>
      <c r="AC532" s="2289"/>
      <c r="AD532" s="2293"/>
      <c r="AE532" s="2293"/>
      <c r="AF532" s="2293"/>
      <c r="AG532" s="2293"/>
      <c r="AH532" s="2289"/>
      <c r="AI532" s="2289"/>
      <c r="AJ532" s="2294"/>
      <c r="AK532" s="2294"/>
      <c r="AL532" s="2289"/>
      <c r="AM532" s="2289"/>
      <c r="AN532" s="2289"/>
      <c r="AO532" s="2289"/>
      <c r="AP532" s="2289"/>
      <c r="AQ532" s="2289"/>
      <c r="AR532" s="2294"/>
      <c r="AS532" s="2294"/>
      <c r="AT532" s="2295"/>
      <c r="AU532" s="2295"/>
      <c r="AV532" s="2295"/>
      <c r="AW532" s="2295"/>
      <c r="AX532" s="2296"/>
      <c r="AY532" s="2289"/>
      <c r="AZ532" s="2289"/>
      <c r="BA532" s="2289"/>
      <c r="BB532" s="2289"/>
      <c r="BC532" s="2289"/>
      <c r="BD532" s="2289"/>
      <c r="BE532" s="2289"/>
      <c r="BF532" s="2289"/>
      <c r="BG532" s="2289"/>
      <c r="BH532" s="2289"/>
      <c r="BI532" s="2289"/>
      <c r="BJ532" s="2289"/>
      <c r="BK532" s="2289"/>
      <c r="BL532" s="2289"/>
      <c r="BM532" s="2289"/>
      <c r="BN532" s="2289"/>
      <c r="BO532" s="2289"/>
      <c r="BP532" s="2289"/>
      <c r="BQ532" s="2289"/>
      <c r="BR532" s="2289"/>
    </row>
    <row r="533" spans="1:70" ht="15.75" customHeight="1">
      <c r="A533" s="2289"/>
      <c r="B533" s="2289"/>
      <c r="C533" s="2289"/>
      <c r="D533" s="2289"/>
      <c r="E533" s="2289"/>
      <c r="F533" s="2289"/>
      <c r="G533" s="2290"/>
      <c r="H533" s="2289"/>
      <c r="I533" s="2289"/>
      <c r="J533" s="2290"/>
      <c r="K533" s="2289"/>
      <c r="L533" s="2289"/>
      <c r="M533" s="2290"/>
      <c r="N533" s="2290"/>
      <c r="O533" s="2290"/>
      <c r="P533" s="2290"/>
      <c r="Q533" s="2289"/>
      <c r="R533" s="2289"/>
      <c r="S533" s="2289"/>
      <c r="T533" s="2291"/>
      <c r="U533" s="2289"/>
      <c r="V533" s="2289"/>
      <c r="W533" s="2289"/>
      <c r="X533" s="2292"/>
      <c r="Y533" s="2292"/>
      <c r="Z533" s="2289"/>
      <c r="AA533" s="2289"/>
      <c r="AB533" s="2289"/>
      <c r="AC533" s="2289"/>
      <c r="AD533" s="2293"/>
      <c r="AE533" s="2293"/>
      <c r="AF533" s="2293"/>
      <c r="AG533" s="2293"/>
      <c r="AH533" s="2289"/>
      <c r="AI533" s="2289"/>
      <c r="AJ533" s="2294"/>
      <c r="AK533" s="2294"/>
      <c r="AL533" s="2289"/>
      <c r="AM533" s="2289"/>
      <c r="AN533" s="2289"/>
      <c r="AO533" s="2289"/>
      <c r="AP533" s="2289"/>
      <c r="AQ533" s="2289"/>
      <c r="AR533" s="2294"/>
      <c r="AS533" s="2294"/>
      <c r="AT533" s="2295"/>
      <c r="AU533" s="2295"/>
      <c r="AV533" s="2295"/>
      <c r="AW533" s="2295"/>
      <c r="AX533" s="2296"/>
      <c r="AY533" s="2289"/>
      <c r="AZ533" s="2289"/>
      <c r="BA533" s="2289"/>
      <c r="BB533" s="2289"/>
      <c r="BC533" s="2289"/>
      <c r="BD533" s="2289"/>
      <c r="BE533" s="2289"/>
      <c r="BF533" s="2289"/>
      <c r="BG533" s="2289"/>
      <c r="BH533" s="2289"/>
      <c r="BI533" s="2289"/>
      <c r="BJ533" s="2289"/>
      <c r="BK533" s="2289"/>
      <c r="BL533" s="2289"/>
      <c r="BM533" s="2289"/>
      <c r="BN533" s="2289"/>
      <c r="BO533" s="2289"/>
      <c r="BP533" s="2289"/>
      <c r="BQ533" s="2289"/>
      <c r="BR533" s="2289"/>
    </row>
    <row r="534" spans="1:70" ht="15.75" customHeight="1">
      <c r="A534" s="2289"/>
      <c r="B534" s="2289"/>
      <c r="C534" s="2289"/>
      <c r="D534" s="2289"/>
      <c r="E534" s="2289"/>
      <c r="F534" s="2289"/>
      <c r="G534" s="2290"/>
      <c r="H534" s="2289"/>
      <c r="I534" s="2289"/>
      <c r="J534" s="2290"/>
      <c r="K534" s="2289"/>
      <c r="L534" s="2289"/>
      <c r="M534" s="2290"/>
      <c r="N534" s="2290"/>
      <c r="O534" s="2290"/>
      <c r="P534" s="2290"/>
      <c r="Q534" s="2289"/>
      <c r="R534" s="2289"/>
      <c r="S534" s="2289"/>
      <c r="T534" s="2291"/>
      <c r="U534" s="2289"/>
      <c r="V534" s="2289"/>
      <c r="W534" s="2289"/>
      <c r="X534" s="2292"/>
      <c r="Y534" s="2292"/>
      <c r="Z534" s="2289"/>
      <c r="AA534" s="2289"/>
      <c r="AB534" s="2289"/>
      <c r="AC534" s="2289"/>
      <c r="AD534" s="2293"/>
      <c r="AE534" s="2293"/>
      <c r="AF534" s="2293"/>
      <c r="AG534" s="2293"/>
      <c r="AH534" s="2289"/>
      <c r="AI534" s="2289"/>
      <c r="AJ534" s="2294"/>
      <c r="AK534" s="2294"/>
      <c r="AL534" s="2289"/>
      <c r="AM534" s="2289"/>
      <c r="AN534" s="2289"/>
      <c r="AO534" s="2289"/>
      <c r="AP534" s="2289"/>
      <c r="AQ534" s="2289"/>
      <c r="AR534" s="2294"/>
      <c r="AS534" s="2294"/>
      <c r="AT534" s="2295"/>
      <c r="AU534" s="2295"/>
      <c r="AV534" s="2295"/>
      <c r="AW534" s="2295"/>
      <c r="AX534" s="2296"/>
      <c r="AY534" s="2289"/>
      <c r="AZ534" s="2289"/>
      <c r="BA534" s="2289"/>
      <c r="BB534" s="2289"/>
      <c r="BC534" s="2289"/>
      <c r="BD534" s="2289"/>
      <c r="BE534" s="2289"/>
      <c r="BF534" s="2289"/>
      <c r="BG534" s="2289"/>
      <c r="BH534" s="2289"/>
      <c r="BI534" s="2289"/>
      <c r="BJ534" s="2289"/>
      <c r="BK534" s="2289"/>
      <c r="BL534" s="2289"/>
      <c r="BM534" s="2289"/>
      <c r="BN534" s="2289"/>
      <c r="BO534" s="2289"/>
      <c r="BP534" s="2289"/>
      <c r="BQ534" s="2289"/>
      <c r="BR534" s="2289"/>
    </row>
    <row r="535" spans="1:70" ht="15.75" customHeight="1">
      <c r="A535" s="2289"/>
      <c r="B535" s="2289"/>
      <c r="C535" s="2289"/>
      <c r="D535" s="2289"/>
      <c r="E535" s="2289"/>
      <c r="F535" s="2289"/>
      <c r="G535" s="2290"/>
      <c r="H535" s="2289"/>
      <c r="I535" s="2289"/>
      <c r="J535" s="2290"/>
      <c r="K535" s="2289"/>
      <c r="L535" s="2289"/>
      <c r="M535" s="2290"/>
      <c r="N535" s="2290"/>
      <c r="O535" s="2290"/>
      <c r="P535" s="2290"/>
      <c r="Q535" s="2289"/>
      <c r="R535" s="2289"/>
      <c r="S535" s="2289"/>
      <c r="T535" s="2291"/>
      <c r="U535" s="2289"/>
      <c r="V535" s="2289"/>
      <c r="W535" s="2289"/>
      <c r="X535" s="2292"/>
      <c r="Y535" s="2292"/>
      <c r="Z535" s="2289"/>
      <c r="AA535" s="2289"/>
      <c r="AB535" s="2289"/>
      <c r="AC535" s="2289"/>
      <c r="AD535" s="2293"/>
      <c r="AE535" s="2293"/>
      <c r="AF535" s="2293"/>
      <c r="AG535" s="2293"/>
      <c r="AH535" s="2289"/>
      <c r="AI535" s="2289"/>
      <c r="AJ535" s="2294"/>
      <c r="AK535" s="2294"/>
      <c r="AL535" s="2289"/>
      <c r="AM535" s="2289"/>
      <c r="AN535" s="2289"/>
      <c r="AO535" s="2289"/>
      <c r="AP535" s="2289"/>
      <c r="AQ535" s="2289"/>
      <c r="AR535" s="2294"/>
      <c r="AS535" s="2294"/>
      <c r="AT535" s="2295"/>
      <c r="AU535" s="2295"/>
      <c r="AV535" s="2295"/>
      <c r="AW535" s="2295"/>
      <c r="AX535" s="2296"/>
      <c r="AY535" s="2289"/>
      <c r="AZ535" s="2289"/>
      <c r="BA535" s="2289"/>
      <c r="BB535" s="2289"/>
      <c r="BC535" s="2289"/>
      <c r="BD535" s="2289"/>
      <c r="BE535" s="2289"/>
      <c r="BF535" s="2289"/>
      <c r="BG535" s="2289"/>
      <c r="BH535" s="2289"/>
      <c r="BI535" s="2289"/>
      <c r="BJ535" s="2289"/>
      <c r="BK535" s="2289"/>
      <c r="BL535" s="2289"/>
      <c r="BM535" s="2289"/>
      <c r="BN535" s="2289"/>
      <c r="BO535" s="2289"/>
      <c r="BP535" s="2289"/>
      <c r="BQ535" s="2289"/>
      <c r="BR535" s="2289"/>
    </row>
    <row r="536" spans="1:70" ht="15.75" customHeight="1">
      <c r="A536" s="2289"/>
      <c r="B536" s="2289"/>
      <c r="C536" s="2289"/>
      <c r="D536" s="2289"/>
      <c r="E536" s="2289"/>
      <c r="F536" s="2289"/>
      <c r="G536" s="2290"/>
      <c r="H536" s="2289"/>
      <c r="I536" s="2289"/>
      <c r="J536" s="2290"/>
      <c r="K536" s="2289"/>
      <c r="L536" s="2289"/>
      <c r="M536" s="2290"/>
      <c r="N536" s="2290"/>
      <c r="O536" s="2290"/>
      <c r="P536" s="2290"/>
      <c r="Q536" s="2289"/>
      <c r="R536" s="2289"/>
      <c r="S536" s="2289"/>
      <c r="T536" s="2291"/>
      <c r="U536" s="2289"/>
      <c r="V536" s="2289"/>
      <c r="W536" s="2289"/>
      <c r="X536" s="2292"/>
      <c r="Y536" s="2292"/>
      <c r="Z536" s="2289"/>
      <c r="AA536" s="2289"/>
      <c r="AB536" s="2289"/>
      <c r="AC536" s="2289"/>
      <c r="AD536" s="2293"/>
      <c r="AE536" s="2293"/>
      <c r="AF536" s="2293"/>
      <c r="AG536" s="2293"/>
      <c r="AH536" s="2289"/>
      <c r="AI536" s="2289"/>
      <c r="AJ536" s="2294"/>
      <c r="AK536" s="2294"/>
      <c r="AL536" s="2289"/>
      <c r="AM536" s="2289"/>
      <c r="AN536" s="2289"/>
      <c r="AO536" s="2289"/>
      <c r="AP536" s="2289"/>
      <c r="AQ536" s="2289"/>
      <c r="AR536" s="2294"/>
      <c r="AS536" s="2294"/>
      <c r="AT536" s="2295"/>
      <c r="AU536" s="2295"/>
      <c r="AV536" s="2295"/>
      <c r="AW536" s="2295"/>
      <c r="AX536" s="2296"/>
      <c r="AY536" s="2289"/>
      <c r="AZ536" s="2289"/>
      <c r="BA536" s="2289"/>
      <c r="BB536" s="2289"/>
      <c r="BC536" s="2289"/>
      <c r="BD536" s="2289"/>
      <c r="BE536" s="2289"/>
      <c r="BF536" s="2289"/>
      <c r="BG536" s="2289"/>
      <c r="BH536" s="2289"/>
      <c r="BI536" s="2289"/>
      <c r="BJ536" s="2289"/>
      <c r="BK536" s="2289"/>
      <c r="BL536" s="2289"/>
      <c r="BM536" s="2289"/>
      <c r="BN536" s="2289"/>
      <c r="BO536" s="2289"/>
      <c r="BP536" s="2289"/>
      <c r="BQ536" s="2289"/>
      <c r="BR536" s="2289"/>
    </row>
    <row r="537" spans="1:70" ht="15.75" customHeight="1">
      <c r="A537" s="2289"/>
      <c r="B537" s="2289"/>
      <c r="C537" s="2289"/>
      <c r="D537" s="2289"/>
      <c r="E537" s="2289"/>
      <c r="F537" s="2289"/>
      <c r="G537" s="2290"/>
      <c r="H537" s="2289"/>
      <c r="I537" s="2289"/>
      <c r="J537" s="2290"/>
      <c r="K537" s="2289"/>
      <c r="L537" s="2289"/>
      <c r="M537" s="2290"/>
      <c r="N537" s="2290"/>
      <c r="O537" s="2290"/>
      <c r="P537" s="2290"/>
      <c r="Q537" s="2289"/>
      <c r="R537" s="2289"/>
      <c r="S537" s="2289"/>
      <c r="T537" s="2291"/>
      <c r="U537" s="2289"/>
      <c r="V537" s="2289"/>
      <c r="W537" s="2289"/>
      <c r="X537" s="2292"/>
      <c r="Y537" s="2292"/>
      <c r="Z537" s="2289"/>
      <c r="AA537" s="2289"/>
      <c r="AB537" s="2289"/>
      <c r="AC537" s="2289"/>
      <c r="AD537" s="2293"/>
      <c r="AE537" s="2293"/>
      <c r="AF537" s="2293"/>
      <c r="AG537" s="2293"/>
      <c r="AH537" s="2289"/>
      <c r="AI537" s="2289"/>
      <c r="AJ537" s="2294"/>
      <c r="AK537" s="2294"/>
      <c r="AL537" s="2289"/>
      <c r="AM537" s="2289"/>
      <c r="AN537" s="2289"/>
      <c r="AO537" s="2289"/>
      <c r="AP537" s="2289"/>
      <c r="AQ537" s="2289"/>
      <c r="AR537" s="2294"/>
      <c r="AS537" s="2294"/>
      <c r="AT537" s="2295"/>
      <c r="AU537" s="2295"/>
      <c r="AV537" s="2295"/>
      <c r="AW537" s="2295"/>
      <c r="AX537" s="2296"/>
      <c r="AY537" s="2289"/>
      <c r="AZ537" s="2289"/>
      <c r="BA537" s="2289"/>
      <c r="BB537" s="2289"/>
      <c r="BC537" s="2289"/>
      <c r="BD537" s="2289"/>
      <c r="BE537" s="2289"/>
      <c r="BF537" s="2289"/>
      <c r="BG537" s="2289"/>
      <c r="BH537" s="2289"/>
      <c r="BI537" s="2289"/>
      <c r="BJ537" s="2289"/>
      <c r="BK537" s="2289"/>
      <c r="BL537" s="2289"/>
      <c r="BM537" s="2289"/>
      <c r="BN537" s="2289"/>
      <c r="BO537" s="2289"/>
      <c r="BP537" s="2289"/>
      <c r="BQ537" s="2289"/>
      <c r="BR537" s="2289"/>
    </row>
    <row r="538" spans="1:70" ht="15.75" customHeight="1">
      <c r="A538" s="2289"/>
      <c r="B538" s="2289"/>
      <c r="C538" s="2289"/>
      <c r="D538" s="2289"/>
      <c r="E538" s="2289"/>
      <c r="F538" s="2289"/>
      <c r="G538" s="2290"/>
      <c r="H538" s="2289"/>
      <c r="I538" s="2289"/>
      <c r="J538" s="2290"/>
      <c r="K538" s="2289"/>
      <c r="L538" s="2289"/>
      <c r="M538" s="2290"/>
      <c r="N538" s="2290"/>
      <c r="O538" s="2290"/>
      <c r="P538" s="2290"/>
      <c r="Q538" s="2289"/>
      <c r="R538" s="2289"/>
      <c r="S538" s="2289"/>
      <c r="T538" s="2291"/>
      <c r="U538" s="2289"/>
      <c r="V538" s="2289"/>
      <c r="W538" s="2289"/>
      <c r="X538" s="2292"/>
      <c r="Y538" s="2292"/>
      <c r="Z538" s="2289"/>
      <c r="AA538" s="2289"/>
      <c r="AB538" s="2289"/>
      <c r="AC538" s="2289"/>
      <c r="AD538" s="2293"/>
      <c r="AE538" s="2293"/>
      <c r="AF538" s="2293"/>
      <c r="AG538" s="2293"/>
      <c r="AH538" s="2289"/>
      <c r="AI538" s="2289"/>
      <c r="AJ538" s="2294"/>
      <c r="AK538" s="2294"/>
      <c r="AL538" s="2289"/>
      <c r="AM538" s="2289"/>
      <c r="AN538" s="2289"/>
      <c r="AO538" s="2289"/>
      <c r="AP538" s="2289"/>
      <c r="AQ538" s="2289"/>
      <c r="AR538" s="2294"/>
      <c r="AS538" s="2294"/>
      <c r="AT538" s="2295"/>
      <c r="AU538" s="2295"/>
      <c r="AV538" s="2295"/>
      <c r="AW538" s="2295"/>
      <c r="AX538" s="2296"/>
      <c r="AY538" s="2289"/>
      <c r="AZ538" s="2289"/>
      <c r="BA538" s="2289"/>
      <c r="BB538" s="2289"/>
      <c r="BC538" s="2289"/>
      <c r="BD538" s="2289"/>
      <c r="BE538" s="2289"/>
      <c r="BF538" s="2289"/>
      <c r="BG538" s="2289"/>
      <c r="BH538" s="2289"/>
      <c r="BI538" s="2289"/>
      <c r="BJ538" s="2289"/>
      <c r="BK538" s="2289"/>
      <c r="BL538" s="2289"/>
      <c r="BM538" s="2289"/>
      <c r="BN538" s="2289"/>
      <c r="BO538" s="2289"/>
      <c r="BP538" s="2289"/>
      <c r="BQ538" s="2289"/>
      <c r="BR538" s="2289"/>
    </row>
    <row r="539" spans="1:70" ht="15.75" customHeight="1">
      <c r="A539" s="2289"/>
      <c r="B539" s="2289"/>
      <c r="C539" s="2289"/>
      <c r="D539" s="2289"/>
      <c r="E539" s="2289"/>
      <c r="F539" s="2289"/>
      <c r="G539" s="2290"/>
      <c r="H539" s="2289"/>
      <c r="I539" s="2289"/>
      <c r="J539" s="2290"/>
      <c r="K539" s="2289"/>
      <c r="L539" s="2289"/>
      <c r="M539" s="2290"/>
      <c r="N539" s="2290"/>
      <c r="O539" s="2290"/>
      <c r="P539" s="2290"/>
      <c r="Q539" s="2289"/>
      <c r="R539" s="2289"/>
      <c r="S539" s="2289"/>
      <c r="T539" s="2291"/>
      <c r="U539" s="2289"/>
      <c r="V539" s="2289"/>
      <c r="W539" s="2289"/>
      <c r="X539" s="2292"/>
      <c r="Y539" s="2292"/>
      <c r="Z539" s="2289"/>
      <c r="AA539" s="2289"/>
      <c r="AB539" s="2289"/>
      <c r="AC539" s="2289"/>
      <c r="AD539" s="2293"/>
      <c r="AE539" s="2293"/>
      <c r="AF539" s="2293"/>
      <c r="AG539" s="2293"/>
      <c r="AH539" s="2289"/>
      <c r="AI539" s="2289"/>
      <c r="AJ539" s="2294"/>
      <c r="AK539" s="2294"/>
      <c r="AL539" s="2289"/>
      <c r="AM539" s="2289"/>
      <c r="AN539" s="2289"/>
      <c r="AO539" s="2289"/>
      <c r="AP539" s="2289"/>
      <c r="AQ539" s="2289"/>
      <c r="AR539" s="2294"/>
      <c r="AS539" s="2294"/>
      <c r="AT539" s="2295"/>
      <c r="AU539" s="2295"/>
      <c r="AV539" s="2295"/>
      <c r="AW539" s="2295"/>
      <c r="AX539" s="2296"/>
      <c r="AY539" s="2289"/>
      <c r="AZ539" s="2289"/>
      <c r="BA539" s="2289"/>
      <c r="BB539" s="2289"/>
      <c r="BC539" s="2289"/>
      <c r="BD539" s="2289"/>
      <c r="BE539" s="2289"/>
      <c r="BF539" s="2289"/>
      <c r="BG539" s="2289"/>
      <c r="BH539" s="2289"/>
      <c r="BI539" s="2289"/>
      <c r="BJ539" s="2289"/>
      <c r="BK539" s="2289"/>
      <c r="BL539" s="2289"/>
      <c r="BM539" s="2289"/>
      <c r="BN539" s="2289"/>
      <c r="BO539" s="2289"/>
      <c r="BP539" s="2289"/>
      <c r="BQ539" s="2289"/>
      <c r="BR539" s="2289"/>
    </row>
    <row r="540" spans="1:70" ht="15.75" customHeight="1">
      <c r="A540" s="2289"/>
      <c r="B540" s="2289"/>
      <c r="C540" s="2289"/>
      <c r="D540" s="2289"/>
      <c r="E540" s="2289"/>
      <c r="F540" s="2289"/>
      <c r="G540" s="2290"/>
      <c r="H540" s="2289"/>
      <c r="I540" s="2289"/>
      <c r="J540" s="2290"/>
      <c r="K540" s="2289"/>
      <c r="L540" s="2289"/>
      <c r="M540" s="2290"/>
      <c r="N540" s="2290"/>
      <c r="O540" s="2290"/>
      <c r="P540" s="2290"/>
      <c r="Q540" s="2289"/>
      <c r="R540" s="2289"/>
      <c r="S540" s="2289"/>
      <c r="T540" s="2291"/>
      <c r="U540" s="2289"/>
      <c r="V540" s="2289"/>
      <c r="W540" s="2289"/>
      <c r="X540" s="2292"/>
      <c r="Y540" s="2292"/>
      <c r="Z540" s="2289"/>
      <c r="AA540" s="2289"/>
      <c r="AB540" s="2289"/>
      <c r="AC540" s="2289"/>
      <c r="AD540" s="2293"/>
      <c r="AE540" s="2293"/>
      <c r="AF540" s="2293"/>
      <c r="AG540" s="2293"/>
      <c r="AH540" s="2289"/>
      <c r="AI540" s="2289"/>
      <c r="AJ540" s="2294"/>
      <c r="AK540" s="2294"/>
      <c r="AL540" s="2289"/>
      <c r="AM540" s="2289"/>
      <c r="AN540" s="2289"/>
      <c r="AO540" s="2289"/>
      <c r="AP540" s="2289"/>
      <c r="AQ540" s="2289"/>
      <c r="AR540" s="2294"/>
      <c r="AS540" s="2294"/>
      <c r="AT540" s="2295"/>
      <c r="AU540" s="2295"/>
      <c r="AV540" s="2295"/>
      <c r="AW540" s="2295"/>
      <c r="AX540" s="2296"/>
      <c r="AY540" s="2289"/>
      <c r="AZ540" s="2289"/>
      <c r="BA540" s="2289"/>
      <c r="BB540" s="2289"/>
      <c r="BC540" s="2289"/>
      <c r="BD540" s="2289"/>
      <c r="BE540" s="2289"/>
      <c r="BF540" s="2289"/>
      <c r="BG540" s="2289"/>
      <c r="BH540" s="2289"/>
      <c r="BI540" s="2289"/>
      <c r="BJ540" s="2289"/>
      <c r="BK540" s="2289"/>
      <c r="BL540" s="2289"/>
      <c r="BM540" s="2289"/>
      <c r="BN540" s="2289"/>
      <c r="BO540" s="2289"/>
      <c r="BP540" s="2289"/>
      <c r="BQ540" s="2289"/>
      <c r="BR540" s="2289"/>
    </row>
    <row r="541" spans="1:70" ht="15.75" customHeight="1">
      <c r="A541" s="2289"/>
      <c r="B541" s="2289"/>
      <c r="C541" s="2289"/>
      <c r="D541" s="2289"/>
      <c r="E541" s="2289"/>
      <c r="F541" s="2289"/>
      <c r="G541" s="2290"/>
      <c r="H541" s="2289"/>
      <c r="I541" s="2289"/>
      <c r="J541" s="2290"/>
      <c r="K541" s="2289"/>
      <c r="L541" s="2289"/>
      <c r="M541" s="2290"/>
      <c r="N541" s="2290"/>
      <c r="O541" s="2290"/>
      <c r="P541" s="2290"/>
      <c r="Q541" s="2289"/>
      <c r="R541" s="2289"/>
      <c r="S541" s="2289"/>
      <c r="T541" s="2291"/>
      <c r="U541" s="2289"/>
      <c r="V541" s="2289"/>
      <c r="W541" s="2289"/>
      <c r="X541" s="2292"/>
      <c r="Y541" s="2292"/>
      <c r="Z541" s="2289"/>
      <c r="AA541" s="2289"/>
      <c r="AB541" s="2289"/>
      <c r="AC541" s="2289"/>
      <c r="AD541" s="2293"/>
      <c r="AE541" s="2293"/>
      <c r="AF541" s="2293"/>
      <c r="AG541" s="2293"/>
      <c r="AH541" s="2289"/>
      <c r="AI541" s="2289"/>
      <c r="AJ541" s="2294"/>
      <c r="AK541" s="2294"/>
      <c r="AL541" s="2289"/>
      <c r="AM541" s="2289"/>
      <c r="AN541" s="2289"/>
      <c r="AO541" s="2289"/>
      <c r="AP541" s="2289"/>
      <c r="AQ541" s="2289"/>
      <c r="AR541" s="2294"/>
      <c r="AS541" s="2294"/>
      <c r="AT541" s="2295"/>
      <c r="AU541" s="2295"/>
      <c r="AV541" s="2295"/>
      <c r="AW541" s="2295"/>
      <c r="AX541" s="2296"/>
      <c r="AY541" s="2289"/>
      <c r="AZ541" s="2289"/>
      <c r="BA541" s="2289"/>
      <c r="BB541" s="2289"/>
      <c r="BC541" s="2289"/>
      <c r="BD541" s="2289"/>
      <c r="BE541" s="2289"/>
      <c r="BF541" s="2289"/>
      <c r="BG541" s="2289"/>
      <c r="BH541" s="2289"/>
      <c r="BI541" s="2289"/>
      <c r="BJ541" s="2289"/>
      <c r="BK541" s="2289"/>
      <c r="BL541" s="2289"/>
      <c r="BM541" s="2289"/>
      <c r="BN541" s="2289"/>
      <c r="BO541" s="2289"/>
      <c r="BP541" s="2289"/>
      <c r="BQ541" s="2289"/>
      <c r="BR541" s="2289"/>
    </row>
    <row r="542" spans="1:70" ht="15.75" customHeight="1">
      <c r="A542" s="2289"/>
      <c r="B542" s="2289"/>
      <c r="C542" s="2289"/>
      <c r="D542" s="2289"/>
      <c r="E542" s="2289"/>
      <c r="F542" s="2289"/>
      <c r="G542" s="2290"/>
      <c r="H542" s="2289"/>
      <c r="I542" s="2289"/>
      <c r="J542" s="2290"/>
      <c r="K542" s="2289"/>
      <c r="L542" s="2289"/>
      <c r="M542" s="2290"/>
      <c r="N542" s="2290"/>
      <c r="O542" s="2290"/>
      <c r="P542" s="2290"/>
      <c r="Q542" s="2289"/>
      <c r="R542" s="2289"/>
      <c r="S542" s="2289"/>
      <c r="T542" s="2291"/>
      <c r="U542" s="2289"/>
      <c r="V542" s="2289"/>
      <c r="W542" s="2289"/>
      <c r="X542" s="2292"/>
      <c r="Y542" s="2292"/>
      <c r="Z542" s="2289"/>
      <c r="AA542" s="2289"/>
      <c r="AB542" s="2289"/>
      <c r="AC542" s="2289"/>
      <c r="AD542" s="2293"/>
      <c r="AE542" s="2293"/>
      <c r="AF542" s="2293"/>
      <c r="AG542" s="2293"/>
      <c r="AH542" s="2289"/>
      <c r="AI542" s="2289"/>
      <c r="AJ542" s="2294"/>
      <c r="AK542" s="2294"/>
      <c r="AL542" s="2289"/>
      <c r="AM542" s="2289"/>
      <c r="AN542" s="2289"/>
      <c r="AO542" s="2289"/>
      <c r="AP542" s="2289"/>
      <c r="AQ542" s="2289"/>
      <c r="AR542" s="2294"/>
      <c r="AS542" s="2294"/>
      <c r="AT542" s="2295"/>
      <c r="AU542" s="2295"/>
      <c r="AV542" s="2295"/>
      <c r="AW542" s="2295"/>
      <c r="AX542" s="2296"/>
      <c r="AY542" s="2289"/>
      <c r="AZ542" s="2289"/>
      <c r="BA542" s="2289"/>
      <c r="BB542" s="2289"/>
      <c r="BC542" s="2289"/>
      <c r="BD542" s="2289"/>
      <c r="BE542" s="2289"/>
      <c r="BF542" s="2289"/>
      <c r="BG542" s="2289"/>
      <c r="BH542" s="2289"/>
      <c r="BI542" s="2289"/>
      <c r="BJ542" s="2289"/>
      <c r="BK542" s="2289"/>
      <c r="BL542" s="2289"/>
      <c r="BM542" s="2289"/>
      <c r="BN542" s="2289"/>
      <c r="BO542" s="2289"/>
      <c r="BP542" s="2289"/>
      <c r="BQ542" s="2289"/>
      <c r="BR542" s="2289"/>
    </row>
    <row r="543" spans="1:70" ht="15.75" customHeight="1">
      <c r="A543" s="2289"/>
      <c r="B543" s="2289"/>
      <c r="C543" s="2289"/>
      <c r="D543" s="2289"/>
      <c r="E543" s="2289"/>
      <c r="F543" s="2289"/>
      <c r="G543" s="2290"/>
      <c r="H543" s="2289"/>
      <c r="I543" s="2289"/>
      <c r="J543" s="2290"/>
      <c r="K543" s="2289"/>
      <c r="L543" s="2289"/>
      <c r="M543" s="2290"/>
      <c r="N543" s="2290"/>
      <c r="O543" s="2290"/>
      <c r="P543" s="2290"/>
      <c r="Q543" s="2289"/>
      <c r="R543" s="2289"/>
      <c r="S543" s="2289"/>
      <c r="T543" s="2291"/>
      <c r="U543" s="2289"/>
      <c r="V543" s="2289"/>
      <c r="W543" s="2289"/>
      <c r="X543" s="2292"/>
      <c r="Y543" s="2292"/>
      <c r="Z543" s="2289"/>
      <c r="AA543" s="2289"/>
      <c r="AB543" s="2289"/>
      <c r="AC543" s="2289"/>
      <c r="AD543" s="2293"/>
      <c r="AE543" s="2293"/>
      <c r="AF543" s="2293"/>
      <c r="AG543" s="2293"/>
      <c r="AH543" s="2289"/>
      <c r="AI543" s="2289"/>
      <c r="AJ543" s="2294"/>
      <c r="AK543" s="2294"/>
      <c r="AL543" s="2289"/>
      <c r="AM543" s="2289"/>
      <c r="AN543" s="2289"/>
      <c r="AO543" s="2289"/>
      <c r="AP543" s="2289"/>
      <c r="AQ543" s="2289"/>
      <c r="AR543" s="2294"/>
      <c r="AS543" s="2294"/>
      <c r="AT543" s="2295"/>
      <c r="AU543" s="2295"/>
      <c r="AV543" s="2295"/>
      <c r="AW543" s="2295"/>
      <c r="AX543" s="2296"/>
      <c r="AY543" s="2289"/>
      <c r="AZ543" s="2289"/>
      <c r="BA543" s="2289"/>
      <c r="BB543" s="2289"/>
      <c r="BC543" s="2289"/>
      <c r="BD543" s="2289"/>
      <c r="BE543" s="2289"/>
      <c r="BF543" s="2289"/>
      <c r="BG543" s="2289"/>
      <c r="BH543" s="2289"/>
      <c r="BI543" s="2289"/>
      <c r="BJ543" s="2289"/>
      <c r="BK543" s="2289"/>
      <c r="BL543" s="2289"/>
      <c r="BM543" s="2289"/>
      <c r="BN543" s="2289"/>
      <c r="BO543" s="2289"/>
      <c r="BP543" s="2289"/>
      <c r="BQ543" s="2289"/>
      <c r="BR543" s="2289"/>
    </row>
    <row r="544" spans="1:70" ht="15.75" customHeight="1">
      <c r="A544" s="2289"/>
      <c r="B544" s="2289"/>
      <c r="C544" s="2289"/>
      <c r="D544" s="2289"/>
      <c r="E544" s="2289"/>
      <c r="F544" s="2289"/>
      <c r="G544" s="2290"/>
      <c r="H544" s="2289"/>
      <c r="I544" s="2289"/>
      <c r="J544" s="2290"/>
      <c r="K544" s="2289"/>
      <c r="L544" s="2289"/>
      <c r="M544" s="2290"/>
      <c r="N544" s="2290"/>
      <c r="O544" s="2290"/>
      <c r="P544" s="2290"/>
      <c r="Q544" s="2289"/>
      <c r="R544" s="2289"/>
      <c r="S544" s="2289"/>
      <c r="T544" s="2291"/>
      <c r="U544" s="2289"/>
      <c r="V544" s="2289"/>
      <c r="W544" s="2289"/>
      <c r="X544" s="2292"/>
      <c r="Y544" s="2292"/>
      <c r="Z544" s="2289"/>
      <c r="AA544" s="2289"/>
      <c r="AB544" s="2289"/>
      <c r="AC544" s="2289"/>
      <c r="AD544" s="2293"/>
      <c r="AE544" s="2293"/>
      <c r="AF544" s="2293"/>
      <c r="AG544" s="2293"/>
      <c r="AH544" s="2289"/>
      <c r="AI544" s="2289"/>
      <c r="AJ544" s="2294"/>
      <c r="AK544" s="2294"/>
      <c r="AL544" s="2289"/>
      <c r="AM544" s="2289"/>
      <c r="AN544" s="2289"/>
      <c r="AO544" s="2289"/>
      <c r="AP544" s="2289"/>
      <c r="AQ544" s="2289"/>
      <c r="AR544" s="2294"/>
      <c r="AS544" s="2294"/>
      <c r="AT544" s="2295"/>
      <c r="AU544" s="2295"/>
      <c r="AV544" s="2295"/>
      <c r="AW544" s="2295"/>
      <c r="AX544" s="2296"/>
      <c r="AY544" s="2289"/>
      <c r="AZ544" s="2289"/>
      <c r="BA544" s="2289"/>
      <c r="BB544" s="2289"/>
      <c r="BC544" s="2289"/>
      <c r="BD544" s="2289"/>
      <c r="BE544" s="2289"/>
      <c r="BF544" s="2289"/>
      <c r="BG544" s="2289"/>
      <c r="BH544" s="2289"/>
      <c r="BI544" s="2289"/>
      <c r="BJ544" s="2289"/>
      <c r="BK544" s="2289"/>
      <c r="BL544" s="2289"/>
      <c r="BM544" s="2289"/>
      <c r="BN544" s="2289"/>
      <c r="BO544" s="2289"/>
      <c r="BP544" s="2289"/>
      <c r="BQ544" s="2289"/>
      <c r="BR544" s="2289"/>
    </row>
    <row r="545" spans="1:70" ht="15.75" customHeight="1">
      <c r="A545" s="2289"/>
      <c r="B545" s="2289"/>
      <c r="C545" s="2289"/>
      <c r="D545" s="2289"/>
      <c r="E545" s="2289"/>
      <c r="F545" s="2289"/>
      <c r="G545" s="2290"/>
      <c r="H545" s="2289"/>
      <c r="I545" s="2289"/>
      <c r="J545" s="2290"/>
      <c r="K545" s="2289"/>
      <c r="L545" s="2289"/>
      <c r="M545" s="2290"/>
      <c r="N545" s="2290"/>
      <c r="O545" s="2290"/>
      <c r="P545" s="2290"/>
      <c r="Q545" s="2289"/>
      <c r="R545" s="2289"/>
      <c r="S545" s="2289"/>
      <c r="T545" s="2291"/>
      <c r="U545" s="2289"/>
      <c r="V545" s="2289"/>
      <c r="W545" s="2289"/>
      <c r="X545" s="2292"/>
      <c r="Y545" s="2292"/>
      <c r="Z545" s="2289"/>
      <c r="AA545" s="2289"/>
      <c r="AB545" s="2289"/>
      <c r="AC545" s="2289"/>
      <c r="AD545" s="2293"/>
      <c r="AE545" s="2293"/>
      <c r="AF545" s="2293"/>
      <c r="AG545" s="2293"/>
      <c r="AH545" s="2289"/>
      <c r="AI545" s="2289"/>
      <c r="AJ545" s="2294"/>
      <c r="AK545" s="2294"/>
      <c r="AL545" s="2289"/>
      <c r="AM545" s="2289"/>
      <c r="AN545" s="2289"/>
      <c r="AO545" s="2289"/>
      <c r="AP545" s="2289"/>
      <c r="AQ545" s="2289"/>
      <c r="AR545" s="2294"/>
      <c r="AS545" s="2294"/>
      <c r="AT545" s="2295"/>
      <c r="AU545" s="2295"/>
      <c r="AV545" s="2295"/>
      <c r="AW545" s="2295"/>
      <c r="AX545" s="2296"/>
      <c r="AY545" s="2289"/>
      <c r="AZ545" s="2289"/>
      <c r="BA545" s="2289"/>
      <c r="BB545" s="2289"/>
      <c r="BC545" s="2289"/>
      <c r="BD545" s="2289"/>
      <c r="BE545" s="2289"/>
      <c r="BF545" s="2289"/>
      <c r="BG545" s="2289"/>
      <c r="BH545" s="2289"/>
      <c r="BI545" s="2289"/>
      <c r="BJ545" s="2289"/>
      <c r="BK545" s="2289"/>
      <c r="BL545" s="2289"/>
      <c r="BM545" s="2289"/>
      <c r="BN545" s="2289"/>
      <c r="BO545" s="2289"/>
      <c r="BP545" s="2289"/>
      <c r="BQ545" s="2289"/>
      <c r="BR545" s="2289"/>
    </row>
    <row r="546" spans="1:70" ht="15.75" customHeight="1">
      <c r="A546" s="2289"/>
      <c r="B546" s="2289"/>
      <c r="C546" s="2289"/>
      <c r="D546" s="2289"/>
      <c r="E546" s="2289"/>
      <c r="F546" s="2289"/>
      <c r="G546" s="2290"/>
      <c r="H546" s="2289"/>
      <c r="I546" s="2289"/>
      <c r="J546" s="2290"/>
      <c r="K546" s="2289"/>
      <c r="L546" s="2289"/>
      <c r="M546" s="2290"/>
      <c r="N546" s="2290"/>
      <c r="O546" s="2290"/>
      <c r="P546" s="2290"/>
      <c r="Q546" s="2289"/>
      <c r="R546" s="2289"/>
      <c r="S546" s="2289"/>
      <c r="T546" s="2291"/>
      <c r="U546" s="2289"/>
      <c r="V546" s="2289"/>
      <c r="W546" s="2289"/>
      <c r="X546" s="2292"/>
      <c r="Y546" s="2292"/>
      <c r="Z546" s="2289"/>
      <c r="AA546" s="2289"/>
      <c r="AB546" s="2289"/>
      <c r="AC546" s="2289"/>
      <c r="AD546" s="2293"/>
      <c r="AE546" s="2293"/>
      <c r="AF546" s="2293"/>
      <c r="AG546" s="2293"/>
      <c r="AH546" s="2289"/>
      <c r="AI546" s="2289"/>
      <c r="AJ546" s="2294"/>
      <c r="AK546" s="2294"/>
      <c r="AL546" s="2289"/>
      <c r="AM546" s="2289"/>
      <c r="AN546" s="2289"/>
      <c r="AO546" s="2289"/>
      <c r="AP546" s="2289"/>
      <c r="AQ546" s="2289"/>
      <c r="AR546" s="2294"/>
      <c r="AS546" s="2294"/>
      <c r="AT546" s="2295"/>
      <c r="AU546" s="2295"/>
      <c r="AV546" s="2295"/>
      <c r="AW546" s="2295"/>
      <c r="AX546" s="2296"/>
      <c r="AY546" s="2289"/>
      <c r="AZ546" s="2289"/>
      <c r="BA546" s="2289"/>
      <c r="BB546" s="2289"/>
      <c r="BC546" s="2289"/>
      <c r="BD546" s="2289"/>
      <c r="BE546" s="2289"/>
      <c r="BF546" s="2289"/>
      <c r="BG546" s="2289"/>
      <c r="BH546" s="2289"/>
      <c r="BI546" s="2289"/>
      <c r="BJ546" s="2289"/>
      <c r="BK546" s="2289"/>
      <c r="BL546" s="2289"/>
      <c r="BM546" s="2289"/>
      <c r="BN546" s="2289"/>
      <c r="BO546" s="2289"/>
      <c r="BP546" s="2289"/>
      <c r="BQ546" s="2289"/>
      <c r="BR546" s="2289"/>
    </row>
    <row r="547" spans="1:70" ht="15.75" customHeight="1">
      <c r="A547" s="2289"/>
      <c r="B547" s="2289"/>
      <c r="C547" s="2289"/>
      <c r="D547" s="2289"/>
      <c r="E547" s="2289"/>
      <c r="F547" s="2289"/>
      <c r="G547" s="2290"/>
      <c r="H547" s="2289"/>
      <c r="I547" s="2289"/>
      <c r="J547" s="2290"/>
      <c r="K547" s="2289"/>
      <c r="L547" s="2289"/>
      <c r="M547" s="2290"/>
      <c r="N547" s="2290"/>
      <c r="O547" s="2290"/>
      <c r="P547" s="2290"/>
      <c r="Q547" s="2289"/>
      <c r="R547" s="2289"/>
      <c r="S547" s="2289"/>
      <c r="T547" s="2291"/>
      <c r="U547" s="2289"/>
      <c r="V547" s="2289"/>
      <c r="W547" s="2289"/>
      <c r="X547" s="2292"/>
      <c r="Y547" s="2292"/>
      <c r="Z547" s="2289"/>
      <c r="AA547" s="2289"/>
      <c r="AB547" s="2289"/>
      <c r="AC547" s="2289"/>
      <c r="AD547" s="2293"/>
      <c r="AE547" s="2293"/>
      <c r="AF547" s="2293"/>
      <c r="AG547" s="2293"/>
      <c r="AH547" s="2289"/>
      <c r="AI547" s="2289"/>
      <c r="AJ547" s="2294"/>
      <c r="AK547" s="2294"/>
      <c r="AL547" s="2289"/>
      <c r="AM547" s="2289"/>
      <c r="AN547" s="2289"/>
      <c r="AO547" s="2289"/>
      <c r="AP547" s="2289"/>
      <c r="AQ547" s="2289"/>
      <c r="AR547" s="2294"/>
      <c r="AS547" s="2294"/>
      <c r="AT547" s="2295"/>
      <c r="AU547" s="2295"/>
      <c r="AV547" s="2295"/>
      <c r="AW547" s="2295"/>
      <c r="AX547" s="2296"/>
      <c r="AY547" s="2289"/>
      <c r="AZ547" s="2289"/>
      <c r="BA547" s="2289"/>
      <c r="BB547" s="2289"/>
      <c r="BC547" s="2289"/>
      <c r="BD547" s="2289"/>
      <c r="BE547" s="2289"/>
      <c r="BF547" s="2289"/>
      <c r="BG547" s="2289"/>
      <c r="BH547" s="2289"/>
      <c r="BI547" s="2289"/>
      <c r="BJ547" s="2289"/>
      <c r="BK547" s="2289"/>
      <c r="BL547" s="2289"/>
      <c r="BM547" s="2289"/>
      <c r="BN547" s="2289"/>
      <c r="BO547" s="2289"/>
      <c r="BP547" s="2289"/>
      <c r="BQ547" s="2289"/>
      <c r="BR547" s="2289"/>
    </row>
    <row r="548" spans="1:70" ht="15.75" customHeight="1">
      <c r="A548" s="2289"/>
      <c r="B548" s="2289"/>
      <c r="C548" s="2289"/>
      <c r="D548" s="2289"/>
      <c r="E548" s="2289"/>
      <c r="F548" s="2289"/>
      <c r="G548" s="2290"/>
      <c r="H548" s="2289"/>
      <c r="I548" s="2289"/>
      <c r="J548" s="2290"/>
      <c r="K548" s="2289"/>
      <c r="L548" s="2289"/>
      <c r="M548" s="2290"/>
      <c r="N548" s="2290"/>
      <c r="O548" s="2290"/>
      <c r="P548" s="2290"/>
      <c r="Q548" s="2289"/>
      <c r="R548" s="2289"/>
      <c r="S548" s="2289"/>
      <c r="T548" s="2291"/>
      <c r="U548" s="2289"/>
      <c r="V548" s="2289"/>
      <c r="W548" s="2289"/>
      <c r="X548" s="2292"/>
      <c r="Y548" s="2292"/>
      <c r="Z548" s="2289"/>
      <c r="AA548" s="2289"/>
      <c r="AB548" s="2289"/>
      <c r="AC548" s="2289"/>
      <c r="AD548" s="2293"/>
      <c r="AE548" s="2293"/>
      <c r="AF548" s="2293"/>
      <c r="AG548" s="2293"/>
      <c r="AH548" s="2289"/>
      <c r="AI548" s="2289"/>
      <c r="AJ548" s="2294"/>
      <c r="AK548" s="2294"/>
      <c r="AL548" s="2289"/>
      <c r="AM548" s="2289"/>
      <c r="AN548" s="2289"/>
      <c r="AO548" s="2289"/>
      <c r="AP548" s="2289"/>
      <c r="AQ548" s="2289"/>
      <c r="AR548" s="2294"/>
      <c r="AS548" s="2294"/>
      <c r="AT548" s="2295"/>
      <c r="AU548" s="2295"/>
      <c r="AV548" s="2295"/>
      <c r="AW548" s="2295"/>
      <c r="AX548" s="2296"/>
      <c r="AY548" s="2289"/>
      <c r="AZ548" s="2289"/>
      <c r="BA548" s="2289"/>
      <c r="BB548" s="2289"/>
      <c r="BC548" s="2289"/>
      <c r="BD548" s="2289"/>
      <c r="BE548" s="2289"/>
      <c r="BF548" s="2289"/>
      <c r="BG548" s="2289"/>
      <c r="BH548" s="2289"/>
      <c r="BI548" s="2289"/>
      <c r="BJ548" s="2289"/>
      <c r="BK548" s="2289"/>
      <c r="BL548" s="2289"/>
      <c r="BM548" s="2289"/>
      <c r="BN548" s="2289"/>
      <c r="BO548" s="2289"/>
      <c r="BP548" s="2289"/>
      <c r="BQ548" s="2289"/>
      <c r="BR548" s="2289"/>
    </row>
    <row r="549" spans="1:70" ht="15.75" customHeight="1">
      <c r="A549" s="2289"/>
      <c r="B549" s="2289"/>
      <c r="C549" s="2289"/>
      <c r="D549" s="2289"/>
      <c r="E549" s="2289"/>
      <c r="F549" s="2289"/>
      <c r="G549" s="2290"/>
      <c r="H549" s="2289"/>
      <c r="I549" s="2289"/>
      <c r="J549" s="2290"/>
      <c r="K549" s="2289"/>
      <c r="L549" s="2289"/>
      <c r="M549" s="2290"/>
      <c r="N549" s="2290"/>
      <c r="O549" s="2290"/>
      <c r="P549" s="2290"/>
      <c r="Q549" s="2289"/>
      <c r="R549" s="2289"/>
      <c r="S549" s="2289"/>
      <c r="T549" s="2291"/>
      <c r="U549" s="2289"/>
      <c r="V549" s="2289"/>
      <c r="W549" s="2289"/>
      <c r="X549" s="2292"/>
      <c r="Y549" s="2292"/>
      <c r="Z549" s="2289"/>
      <c r="AA549" s="2289"/>
      <c r="AB549" s="2289"/>
      <c r="AC549" s="2289"/>
      <c r="AD549" s="2293"/>
      <c r="AE549" s="2293"/>
      <c r="AF549" s="2293"/>
      <c r="AG549" s="2293"/>
      <c r="AH549" s="2289"/>
      <c r="AI549" s="2289"/>
      <c r="AJ549" s="2294"/>
      <c r="AK549" s="2294"/>
      <c r="AL549" s="2289"/>
      <c r="AM549" s="2289"/>
      <c r="AN549" s="2289"/>
      <c r="AO549" s="2289"/>
      <c r="AP549" s="2289"/>
      <c r="AQ549" s="2289"/>
      <c r="AR549" s="2294"/>
      <c r="AS549" s="2294"/>
      <c r="AT549" s="2295"/>
      <c r="AU549" s="2295"/>
      <c r="AV549" s="2295"/>
      <c r="AW549" s="2295"/>
      <c r="AX549" s="2296"/>
      <c r="AY549" s="2289"/>
      <c r="AZ549" s="2289"/>
      <c r="BA549" s="2289"/>
      <c r="BB549" s="2289"/>
      <c r="BC549" s="2289"/>
      <c r="BD549" s="2289"/>
      <c r="BE549" s="2289"/>
      <c r="BF549" s="2289"/>
      <c r="BG549" s="2289"/>
      <c r="BH549" s="2289"/>
      <c r="BI549" s="2289"/>
      <c r="BJ549" s="2289"/>
      <c r="BK549" s="2289"/>
      <c r="BL549" s="2289"/>
      <c r="BM549" s="2289"/>
      <c r="BN549" s="2289"/>
      <c r="BO549" s="2289"/>
      <c r="BP549" s="2289"/>
      <c r="BQ549" s="2289"/>
      <c r="BR549" s="2289"/>
    </row>
    <row r="550" spans="1:70" ht="15.75" customHeight="1">
      <c r="A550" s="2289"/>
      <c r="B550" s="2289"/>
      <c r="C550" s="2289"/>
      <c r="D550" s="2289"/>
      <c r="E550" s="2289"/>
      <c r="F550" s="2289"/>
      <c r="G550" s="2290"/>
      <c r="H550" s="2289"/>
      <c r="I550" s="2289"/>
      <c r="J550" s="2290"/>
      <c r="K550" s="2289"/>
      <c r="L550" s="2289"/>
      <c r="M550" s="2290"/>
      <c r="N550" s="2290"/>
      <c r="O550" s="2290"/>
      <c r="P550" s="2290"/>
      <c r="Q550" s="2289"/>
      <c r="R550" s="2289"/>
      <c r="S550" s="2289"/>
      <c r="T550" s="2291"/>
      <c r="U550" s="2289"/>
      <c r="V550" s="2289"/>
      <c r="W550" s="2289"/>
      <c r="X550" s="2292"/>
      <c r="Y550" s="2292"/>
      <c r="Z550" s="2289"/>
      <c r="AA550" s="2289"/>
      <c r="AB550" s="2289"/>
      <c r="AC550" s="2289"/>
      <c r="AD550" s="2293"/>
      <c r="AE550" s="2293"/>
      <c r="AF550" s="2293"/>
      <c r="AG550" s="2293"/>
      <c r="AH550" s="2289"/>
      <c r="AI550" s="2289"/>
      <c r="AJ550" s="2294"/>
      <c r="AK550" s="2294"/>
      <c r="AL550" s="2289"/>
      <c r="AM550" s="2289"/>
      <c r="AN550" s="2289"/>
      <c r="AO550" s="2289"/>
      <c r="AP550" s="2289"/>
      <c r="AQ550" s="2289"/>
      <c r="AR550" s="2294"/>
      <c r="AS550" s="2294"/>
      <c r="AT550" s="2295"/>
      <c r="AU550" s="2295"/>
      <c r="AV550" s="2295"/>
      <c r="AW550" s="2295"/>
      <c r="AX550" s="2296"/>
      <c r="AY550" s="2289"/>
      <c r="AZ550" s="2289"/>
      <c r="BA550" s="2289"/>
      <c r="BB550" s="2289"/>
      <c r="BC550" s="2289"/>
      <c r="BD550" s="2289"/>
      <c r="BE550" s="2289"/>
      <c r="BF550" s="2289"/>
      <c r="BG550" s="2289"/>
      <c r="BH550" s="2289"/>
      <c r="BI550" s="2289"/>
      <c r="BJ550" s="2289"/>
      <c r="BK550" s="2289"/>
      <c r="BL550" s="2289"/>
      <c r="BM550" s="2289"/>
      <c r="BN550" s="2289"/>
      <c r="BO550" s="2289"/>
      <c r="BP550" s="2289"/>
      <c r="BQ550" s="2289"/>
      <c r="BR550" s="2289"/>
    </row>
    <row r="551" spans="1:70" ht="15.75" customHeight="1">
      <c r="A551" s="2289"/>
      <c r="B551" s="2289"/>
      <c r="C551" s="2289"/>
      <c r="D551" s="2289"/>
      <c r="E551" s="2289"/>
      <c r="F551" s="2289"/>
      <c r="G551" s="2290"/>
      <c r="H551" s="2289"/>
      <c r="I551" s="2289"/>
      <c r="J551" s="2290"/>
      <c r="K551" s="2289"/>
      <c r="L551" s="2289"/>
      <c r="M551" s="2290"/>
      <c r="N551" s="2290"/>
      <c r="O551" s="2290"/>
      <c r="P551" s="2290"/>
      <c r="Q551" s="2289"/>
      <c r="R551" s="2289"/>
      <c r="S551" s="2289"/>
      <c r="T551" s="2291"/>
      <c r="U551" s="2289"/>
      <c r="V551" s="2289"/>
      <c r="W551" s="2289"/>
      <c r="X551" s="2292"/>
      <c r="Y551" s="2292"/>
      <c r="Z551" s="2289"/>
      <c r="AA551" s="2289"/>
      <c r="AB551" s="2289"/>
      <c r="AC551" s="2289"/>
      <c r="AD551" s="2293"/>
      <c r="AE551" s="2293"/>
      <c r="AF551" s="2293"/>
      <c r="AG551" s="2293"/>
      <c r="AH551" s="2289"/>
      <c r="AI551" s="2289"/>
      <c r="AJ551" s="2294"/>
      <c r="AK551" s="2294"/>
      <c r="AL551" s="2289"/>
      <c r="AM551" s="2289"/>
      <c r="AN551" s="2289"/>
      <c r="AO551" s="2289"/>
      <c r="AP551" s="2289"/>
      <c r="AQ551" s="2289"/>
      <c r="AR551" s="2294"/>
      <c r="AS551" s="2294"/>
      <c r="AT551" s="2295"/>
      <c r="AU551" s="2295"/>
      <c r="AV551" s="2295"/>
      <c r="AW551" s="2295"/>
      <c r="AX551" s="2296"/>
      <c r="AY551" s="2289"/>
      <c r="AZ551" s="2289"/>
      <c r="BA551" s="2289"/>
      <c r="BB551" s="2289"/>
      <c r="BC551" s="2289"/>
      <c r="BD551" s="2289"/>
      <c r="BE551" s="2289"/>
      <c r="BF551" s="2289"/>
      <c r="BG551" s="2289"/>
      <c r="BH551" s="2289"/>
      <c r="BI551" s="2289"/>
      <c r="BJ551" s="2289"/>
      <c r="BK551" s="2289"/>
      <c r="BL551" s="2289"/>
      <c r="BM551" s="2289"/>
      <c r="BN551" s="2289"/>
      <c r="BO551" s="2289"/>
      <c r="BP551" s="2289"/>
      <c r="BQ551" s="2289"/>
      <c r="BR551" s="2289"/>
    </row>
    <row r="552" spans="1:70" ht="15.75" customHeight="1">
      <c r="A552" s="2289"/>
      <c r="B552" s="2289"/>
      <c r="C552" s="2289"/>
      <c r="D552" s="2289"/>
      <c r="E552" s="2289"/>
      <c r="F552" s="2289"/>
      <c r="G552" s="2290"/>
      <c r="H552" s="2289"/>
      <c r="I552" s="2289"/>
      <c r="J552" s="2290"/>
      <c r="K552" s="2289"/>
      <c r="L552" s="2289"/>
      <c r="M552" s="2290"/>
      <c r="N552" s="2290"/>
      <c r="O552" s="2290"/>
      <c r="P552" s="2290"/>
      <c r="Q552" s="2289"/>
      <c r="R552" s="2289"/>
      <c r="S552" s="2289"/>
      <c r="T552" s="2291"/>
      <c r="U552" s="2289"/>
      <c r="V552" s="2289"/>
      <c r="W552" s="2289"/>
      <c r="X552" s="2292"/>
      <c r="Y552" s="2292"/>
      <c r="Z552" s="2289"/>
      <c r="AA552" s="2289"/>
      <c r="AB552" s="2289"/>
      <c r="AC552" s="2289"/>
      <c r="AD552" s="2293"/>
      <c r="AE552" s="2293"/>
      <c r="AF552" s="2293"/>
      <c r="AG552" s="2293"/>
      <c r="AH552" s="2289"/>
      <c r="AI552" s="2289"/>
      <c r="AJ552" s="2294"/>
      <c r="AK552" s="2294"/>
      <c r="AL552" s="2289"/>
      <c r="AM552" s="2289"/>
      <c r="AN552" s="2289"/>
      <c r="AO552" s="2289"/>
      <c r="AP552" s="2289"/>
      <c r="AQ552" s="2289"/>
      <c r="AR552" s="2294"/>
      <c r="AS552" s="2294"/>
      <c r="AT552" s="2295"/>
      <c r="AU552" s="2295"/>
      <c r="AV552" s="2295"/>
      <c r="AW552" s="2295"/>
      <c r="AX552" s="2296"/>
      <c r="AY552" s="2289"/>
      <c r="AZ552" s="2289"/>
      <c r="BA552" s="2289"/>
      <c r="BB552" s="2289"/>
      <c r="BC552" s="2289"/>
      <c r="BD552" s="2289"/>
      <c r="BE552" s="2289"/>
      <c r="BF552" s="2289"/>
      <c r="BG552" s="2289"/>
      <c r="BH552" s="2289"/>
      <c r="BI552" s="2289"/>
      <c r="BJ552" s="2289"/>
      <c r="BK552" s="2289"/>
      <c r="BL552" s="2289"/>
      <c r="BM552" s="2289"/>
      <c r="BN552" s="2289"/>
      <c r="BO552" s="2289"/>
      <c r="BP552" s="2289"/>
      <c r="BQ552" s="2289"/>
      <c r="BR552" s="2289"/>
    </row>
    <row r="553" spans="1:70" ht="15.75" customHeight="1">
      <c r="A553" s="2289"/>
      <c r="B553" s="2289"/>
      <c r="C553" s="2289"/>
      <c r="D553" s="2289"/>
      <c r="E553" s="2289"/>
      <c r="F553" s="2289"/>
      <c r="G553" s="2290"/>
      <c r="H553" s="2289"/>
      <c r="I553" s="2289"/>
      <c r="J553" s="2290"/>
      <c r="K553" s="2289"/>
      <c r="L553" s="2289"/>
      <c r="M553" s="2290"/>
      <c r="N553" s="2290"/>
      <c r="O553" s="2290"/>
      <c r="P553" s="2290"/>
      <c r="Q553" s="2289"/>
      <c r="R553" s="2289"/>
      <c r="S553" s="2289"/>
      <c r="T553" s="2291"/>
      <c r="U553" s="2289"/>
      <c r="V553" s="2289"/>
      <c r="W553" s="2289"/>
      <c r="X553" s="2292"/>
      <c r="Y553" s="2292"/>
      <c r="Z553" s="2289"/>
      <c r="AA553" s="2289"/>
      <c r="AB553" s="2289"/>
      <c r="AC553" s="2289"/>
      <c r="AD553" s="2293"/>
      <c r="AE553" s="2293"/>
      <c r="AF553" s="2293"/>
      <c r="AG553" s="2293"/>
      <c r="AH553" s="2289"/>
      <c r="AI553" s="2289"/>
      <c r="AJ553" s="2294"/>
      <c r="AK553" s="2294"/>
      <c r="AL553" s="2289"/>
      <c r="AM553" s="2289"/>
      <c r="AN553" s="2289"/>
      <c r="AO553" s="2289"/>
      <c r="AP553" s="2289"/>
      <c r="AQ553" s="2289"/>
      <c r="AR553" s="2294"/>
      <c r="AS553" s="2294"/>
      <c r="AT553" s="2295"/>
      <c r="AU553" s="2295"/>
      <c r="AV553" s="2295"/>
      <c r="AW553" s="2295"/>
      <c r="AX553" s="2296"/>
      <c r="AY553" s="2289"/>
      <c r="AZ553" s="2289"/>
      <c r="BA553" s="2289"/>
      <c r="BB553" s="2289"/>
      <c r="BC553" s="2289"/>
      <c r="BD553" s="2289"/>
      <c r="BE553" s="2289"/>
      <c r="BF553" s="2289"/>
      <c r="BG553" s="2289"/>
      <c r="BH553" s="2289"/>
      <c r="BI553" s="2289"/>
      <c r="BJ553" s="2289"/>
      <c r="BK553" s="2289"/>
      <c r="BL553" s="2289"/>
      <c r="BM553" s="2289"/>
      <c r="BN553" s="2289"/>
      <c r="BO553" s="2289"/>
      <c r="BP553" s="2289"/>
      <c r="BQ553" s="2289"/>
      <c r="BR553" s="2289"/>
    </row>
    <row r="554" spans="1:70" ht="15.75" customHeight="1">
      <c r="A554" s="2289"/>
      <c r="B554" s="2289"/>
      <c r="C554" s="2289"/>
      <c r="D554" s="2289"/>
      <c r="E554" s="2289"/>
      <c r="F554" s="2289"/>
      <c r="G554" s="2290"/>
      <c r="H554" s="2289"/>
      <c r="I554" s="2289"/>
      <c r="J554" s="2290"/>
      <c r="K554" s="2289"/>
      <c r="L554" s="2289"/>
      <c r="M554" s="2290"/>
      <c r="N554" s="2290"/>
      <c r="O554" s="2290"/>
      <c r="P554" s="2290"/>
      <c r="Q554" s="2289"/>
      <c r="R554" s="2289"/>
      <c r="S554" s="2289"/>
      <c r="T554" s="2291"/>
      <c r="U554" s="2289"/>
      <c r="V554" s="2289"/>
      <c r="W554" s="2289"/>
      <c r="X554" s="2292"/>
      <c r="Y554" s="2292"/>
      <c r="Z554" s="2289"/>
      <c r="AA554" s="2289"/>
      <c r="AB554" s="2289"/>
      <c r="AC554" s="2289"/>
      <c r="AD554" s="2293"/>
      <c r="AE554" s="2293"/>
      <c r="AF554" s="2293"/>
      <c r="AG554" s="2293"/>
      <c r="AH554" s="2289"/>
      <c r="AI554" s="2289"/>
      <c r="AJ554" s="2294"/>
      <c r="AK554" s="2294"/>
      <c r="AL554" s="2289"/>
      <c r="AM554" s="2289"/>
      <c r="AN554" s="2289"/>
      <c r="AO554" s="2289"/>
      <c r="AP554" s="2289"/>
      <c r="AQ554" s="2289"/>
      <c r="AR554" s="2294"/>
      <c r="AS554" s="2294"/>
      <c r="AT554" s="2295"/>
      <c r="AU554" s="2295"/>
      <c r="AV554" s="2295"/>
      <c r="AW554" s="2295"/>
      <c r="AX554" s="2296"/>
      <c r="AY554" s="2289"/>
      <c r="AZ554" s="2289"/>
      <c r="BA554" s="2289"/>
      <c r="BB554" s="2289"/>
      <c r="BC554" s="2289"/>
      <c r="BD554" s="2289"/>
      <c r="BE554" s="2289"/>
      <c r="BF554" s="2289"/>
      <c r="BG554" s="2289"/>
      <c r="BH554" s="2289"/>
      <c r="BI554" s="2289"/>
      <c r="BJ554" s="2289"/>
      <c r="BK554" s="2289"/>
      <c r="BL554" s="2289"/>
      <c r="BM554" s="2289"/>
      <c r="BN554" s="2289"/>
      <c r="BO554" s="2289"/>
      <c r="BP554" s="2289"/>
      <c r="BQ554" s="2289"/>
      <c r="BR554" s="2289"/>
    </row>
    <row r="555" spans="1:70" ht="15.75" customHeight="1">
      <c r="A555" s="2289"/>
      <c r="B555" s="2289"/>
      <c r="C555" s="2289"/>
      <c r="D555" s="2289"/>
      <c r="E555" s="2289"/>
      <c r="F555" s="2289"/>
      <c r="G555" s="2290"/>
      <c r="H555" s="2289"/>
      <c r="I555" s="2289"/>
      <c r="J555" s="2290"/>
      <c r="K555" s="2289"/>
      <c r="L555" s="2289"/>
      <c r="M555" s="2290"/>
      <c r="N555" s="2290"/>
      <c r="O555" s="2290"/>
      <c r="P555" s="2290"/>
      <c r="Q555" s="2289"/>
      <c r="R555" s="2289"/>
      <c r="S555" s="2289"/>
      <c r="T555" s="2291"/>
      <c r="U555" s="2289"/>
      <c r="V555" s="2289"/>
      <c r="W555" s="2289"/>
      <c r="X555" s="2292"/>
      <c r="Y555" s="2292"/>
      <c r="Z555" s="2289"/>
      <c r="AA555" s="2289"/>
      <c r="AB555" s="2289"/>
      <c r="AC555" s="2289"/>
      <c r="AD555" s="2293"/>
      <c r="AE555" s="2293"/>
      <c r="AF555" s="2293"/>
      <c r="AG555" s="2293"/>
      <c r="AH555" s="2289"/>
      <c r="AI555" s="2289"/>
      <c r="AJ555" s="2294"/>
      <c r="AK555" s="2294"/>
      <c r="AL555" s="2289"/>
      <c r="AM555" s="2289"/>
      <c r="AN555" s="2289"/>
      <c r="AO555" s="2289"/>
      <c r="AP555" s="2289"/>
      <c r="AQ555" s="2289"/>
      <c r="AR555" s="2294"/>
      <c r="AS555" s="2294"/>
      <c r="AT555" s="2295"/>
      <c r="AU555" s="2295"/>
      <c r="AV555" s="2295"/>
      <c r="AW555" s="2295"/>
      <c r="AX555" s="2296"/>
      <c r="AY555" s="2289"/>
      <c r="AZ555" s="2289"/>
      <c r="BA555" s="2289"/>
      <c r="BB555" s="2289"/>
      <c r="BC555" s="2289"/>
      <c r="BD555" s="2289"/>
      <c r="BE555" s="2289"/>
      <c r="BF555" s="2289"/>
      <c r="BG555" s="2289"/>
      <c r="BH555" s="2289"/>
      <c r="BI555" s="2289"/>
      <c r="BJ555" s="2289"/>
      <c r="BK555" s="2289"/>
      <c r="BL555" s="2289"/>
      <c r="BM555" s="2289"/>
      <c r="BN555" s="2289"/>
      <c r="BO555" s="2289"/>
      <c r="BP555" s="2289"/>
      <c r="BQ555" s="2289"/>
      <c r="BR555" s="2289"/>
    </row>
    <row r="556" spans="1:70" ht="15.75" customHeight="1">
      <c r="A556" s="2289"/>
      <c r="B556" s="2289"/>
      <c r="C556" s="2289"/>
      <c r="D556" s="2289"/>
      <c r="E556" s="2289"/>
      <c r="F556" s="2289"/>
      <c r="G556" s="2290"/>
      <c r="H556" s="2289"/>
      <c r="I556" s="2289"/>
      <c r="J556" s="2290"/>
      <c r="K556" s="2289"/>
      <c r="L556" s="2289"/>
      <c r="M556" s="2290"/>
      <c r="N556" s="2290"/>
      <c r="O556" s="2290"/>
      <c r="P556" s="2290"/>
      <c r="Q556" s="2289"/>
      <c r="R556" s="2289"/>
      <c r="S556" s="2289"/>
      <c r="T556" s="2291"/>
      <c r="U556" s="2289"/>
      <c r="V556" s="2289"/>
      <c r="W556" s="2289"/>
      <c r="X556" s="2292"/>
      <c r="Y556" s="2292"/>
      <c r="Z556" s="2289"/>
      <c r="AA556" s="2289"/>
      <c r="AB556" s="2289"/>
      <c r="AC556" s="2289"/>
      <c r="AD556" s="2293"/>
      <c r="AE556" s="2293"/>
      <c r="AF556" s="2293"/>
      <c r="AG556" s="2293"/>
      <c r="AH556" s="2289"/>
      <c r="AI556" s="2289"/>
      <c r="AJ556" s="2294"/>
      <c r="AK556" s="2294"/>
      <c r="AL556" s="2289"/>
      <c r="AM556" s="2289"/>
      <c r="AN556" s="2289"/>
      <c r="AO556" s="2289"/>
      <c r="AP556" s="2289"/>
      <c r="AQ556" s="2289"/>
      <c r="AR556" s="2294"/>
      <c r="AS556" s="2294"/>
      <c r="AT556" s="2295"/>
      <c r="AU556" s="2295"/>
      <c r="AV556" s="2295"/>
      <c r="AW556" s="2295"/>
      <c r="AX556" s="2296"/>
      <c r="AY556" s="2289"/>
      <c r="AZ556" s="2289"/>
      <c r="BA556" s="2289"/>
      <c r="BB556" s="2289"/>
      <c r="BC556" s="2289"/>
      <c r="BD556" s="2289"/>
      <c r="BE556" s="2289"/>
      <c r="BF556" s="2289"/>
      <c r="BG556" s="2289"/>
      <c r="BH556" s="2289"/>
      <c r="BI556" s="2289"/>
      <c r="BJ556" s="2289"/>
      <c r="BK556" s="2289"/>
      <c r="BL556" s="2289"/>
      <c r="BM556" s="2289"/>
      <c r="BN556" s="2289"/>
      <c r="BO556" s="2289"/>
      <c r="BP556" s="2289"/>
      <c r="BQ556" s="2289"/>
      <c r="BR556" s="2289"/>
    </row>
    <row r="557" spans="1:70" ht="15.75" customHeight="1">
      <c r="A557" s="2289"/>
      <c r="B557" s="2289"/>
      <c r="C557" s="2289"/>
      <c r="D557" s="2289"/>
      <c r="E557" s="2289"/>
      <c r="F557" s="2289"/>
      <c r="G557" s="2290"/>
      <c r="H557" s="2289"/>
      <c r="I557" s="2289"/>
      <c r="J557" s="2290"/>
      <c r="K557" s="2289"/>
      <c r="L557" s="2289"/>
      <c r="M557" s="2290"/>
      <c r="N557" s="2290"/>
      <c r="O557" s="2290"/>
      <c r="P557" s="2290"/>
      <c r="Q557" s="2289"/>
      <c r="R557" s="2289"/>
      <c r="S557" s="2289"/>
      <c r="T557" s="2291"/>
      <c r="U557" s="2289"/>
      <c r="V557" s="2289"/>
      <c r="W557" s="2289"/>
      <c r="X557" s="2292"/>
      <c r="Y557" s="2292"/>
      <c r="Z557" s="2289"/>
      <c r="AA557" s="2289"/>
      <c r="AB557" s="2289"/>
      <c r="AC557" s="2289"/>
      <c r="AD557" s="2293"/>
      <c r="AE557" s="2293"/>
      <c r="AF557" s="2293"/>
      <c r="AG557" s="2293"/>
      <c r="AH557" s="2289"/>
      <c r="AI557" s="2289"/>
      <c r="AJ557" s="2294"/>
      <c r="AK557" s="2294"/>
      <c r="AL557" s="2289"/>
      <c r="AM557" s="2289"/>
      <c r="AN557" s="2289"/>
      <c r="AO557" s="2289"/>
      <c r="AP557" s="2289"/>
      <c r="AQ557" s="2289"/>
      <c r="AR557" s="2294"/>
      <c r="AS557" s="2294"/>
      <c r="AT557" s="2295"/>
      <c r="AU557" s="2295"/>
      <c r="AV557" s="2295"/>
      <c r="AW557" s="2295"/>
      <c r="AX557" s="2296"/>
      <c r="AY557" s="2289"/>
      <c r="AZ557" s="2289"/>
      <c r="BA557" s="2289"/>
      <c r="BB557" s="2289"/>
      <c r="BC557" s="2289"/>
      <c r="BD557" s="2289"/>
      <c r="BE557" s="2289"/>
      <c r="BF557" s="2289"/>
      <c r="BG557" s="2289"/>
      <c r="BH557" s="2289"/>
      <c r="BI557" s="2289"/>
      <c r="BJ557" s="2289"/>
      <c r="BK557" s="2289"/>
      <c r="BL557" s="2289"/>
      <c r="BM557" s="2289"/>
      <c r="BN557" s="2289"/>
      <c r="BO557" s="2289"/>
      <c r="BP557" s="2289"/>
      <c r="BQ557" s="2289"/>
      <c r="BR557" s="2289"/>
    </row>
    <row r="558" spans="1:70" ht="15.75" customHeight="1">
      <c r="A558" s="2289"/>
      <c r="B558" s="2289"/>
      <c r="C558" s="2289"/>
      <c r="D558" s="2289"/>
      <c r="E558" s="2289"/>
      <c r="F558" s="2289"/>
      <c r="G558" s="2290"/>
      <c r="H558" s="2289"/>
      <c r="I558" s="2289"/>
      <c r="J558" s="2290"/>
      <c r="K558" s="2289"/>
      <c r="L558" s="2289"/>
      <c r="M558" s="2290"/>
      <c r="N558" s="2290"/>
      <c r="O558" s="2290"/>
      <c r="P558" s="2290"/>
      <c r="Q558" s="2289"/>
      <c r="R558" s="2289"/>
      <c r="S558" s="2289"/>
      <c r="T558" s="2291"/>
      <c r="U558" s="2289"/>
      <c r="V558" s="2289"/>
      <c r="W558" s="2289"/>
      <c r="X558" s="2292"/>
      <c r="Y558" s="2292"/>
      <c r="Z558" s="2289"/>
      <c r="AA558" s="2289"/>
      <c r="AB558" s="2289"/>
      <c r="AC558" s="2289"/>
      <c r="AD558" s="2293"/>
      <c r="AE558" s="2293"/>
      <c r="AF558" s="2293"/>
      <c r="AG558" s="2293"/>
      <c r="AH558" s="2289"/>
      <c r="AI558" s="2289"/>
      <c r="AJ558" s="2294"/>
      <c r="AK558" s="2294"/>
      <c r="AL558" s="2289"/>
      <c r="AM558" s="2289"/>
      <c r="AN558" s="2289"/>
      <c r="AO558" s="2289"/>
      <c r="AP558" s="2289"/>
      <c r="AQ558" s="2289"/>
      <c r="AR558" s="2294"/>
      <c r="AS558" s="2294"/>
      <c r="AT558" s="2295"/>
      <c r="AU558" s="2295"/>
      <c r="AV558" s="2295"/>
      <c r="AW558" s="2295"/>
      <c r="AX558" s="2296"/>
      <c r="AY558" s="2289"/>
      <c r="AZ558" s="2289"/>
      <c r="BA558" s="2289"/>
      <c r="BB558" s="2289"/>
      <c r="BC558" s="2289"/>
      <c r="BD558" s="2289"/>
      <c r="BE558" s="2289"/>
      <c r="BF558" s="2289"/>
      <c r="BG558" s="2289"/>
      <c r="BH558" s="2289"/>
      <c r="BI558" s="2289"/>
      <c r="BJ558" s="2289"/>
      <c r="BK558" s="2289"/>
      <c r="BL558" s="2289"/>
      <c r="BM558" s="2289"/>
      <c r="BN558" s="2289"/>
      <c r="BO558" s="2289"/>
      <c r="BP558" s="2289"/>
      <c r="BQ558" s="2289"/>
      <c r="BR558" s="2289"/>
    </row>
    <row r="559" spans="1:70" ht="15.75" customHeight="1">
      <c r="A559" s="2289"/>
      <c r="B559" s="2289"/>
      <c r="C559" s="2289"/>
      <c r="D559" s="2289"/>
      <c r="E559" s="2289"/>
      <c r="F559" s="2289"/>
      <c r="G559" s="2290"/>
      <c r="H559" s="2289"/>
      <c r="I559" s="2289"/>
      <c r="J559" s="2290"/>
      <c r="K559" s="2289"/>
      <c r="L559" s="2289"/>
      <c r="M559" s="2290"/>
      <c r="N559" s="2290"/>
      <c r="O559" s="2290"/>
      <c r="P559" s="2290"/>
      <c r="Q559" s="2289"/>
      <c r="R559" s="2289"/>
      <c r="S559" s="2289"/>
      <c r="T559" s="2291"/>
      <c r="U559" s="2289"/>
      <c r="V559" s="2289"/>
      <c r="W559" s="2289"/>
      <c r="X559" s="2292"/>
      <c r="Y559" s="2292"/>
      <c r="Z559" s="2289"/>
      <c r="AA559" s="2289"/>
      <c r="AB559" s="2289"/>
      <c r="AC559" s="2289"/>
      <c r="AD559" s="2293"/>
      <c r="AE559" s="2293"/>
      <c r="AF559" s="2293"/>
      <c r="AG559" s="2293"/>
      <c r="AH559" s="2289"/>
      <c r="AI559" s="2289"/>
      <c r="AJ559" s="2294"/>
      <c r="AK559" s="2294"/>
      <c r="AL559" s="2289"/>
      <c r="AM559" s="2289"/>
      <c r="AN559" s="2289"/>
      <c r="AO559" s="2289"/>
      <c r="AP559" s="2289"/>
      <c r="AQ559" s="2289"/>
      <c r="AR559" s="2294"/>
      <c r="AS559" s="2294"/>
      <c r="AT559" s="2295"/>
      <c r="AU559" s="2295"/>
      <c r="AV559" s="2295"/>
      <c r="AW559" s="2295"/>
      <c r="AX559" s="2296"/>
      <c r="AY559" s="2289"/>
      <c r="AZ559" s="2289"/>
      <c r="BA559" s="2289"/>
      <c r="BB559" s="2289"/>
      <c r="BC559" s="2289"/>
      <c r="BD559" s="2289"/>
      <c r="BE559" s="2289"/>
      <c r="BF559" s="2289"/>
      <c r="BG559" s="2289"/>
      <c r="BH559" s="2289"/>
      <c r="BI559" s="2289"/>
      <c r="BJ559" s="2289"/>
      <c r="BK559" s="2289"/>
      <c r="BL559" s="2289"/>
      <c r="BM559" s="2289"/>
      <c r="BN559" s="2289"/>
      <c r="BO559" s="2289"/>
      <c r="BP559" s="2289"/>
      <c r="BQ559" s="2289"/>
      <c r="BR559" s="2289"/>
    </row>
    <row r="560" spans="1:70" ht="15.75" customHeight="1">
      <c r="A560" s="2289"/>
      <c r="B560" s="2289"/>
      <c r="C560" s="2289"/>
      <c r="D560" s="2289"/>
      <c r="E560" s="2289"/>
      <c r="F560" s="2289"/>
      <c r="G560" s="2290"/>
      <c r="H560" s="2289"/>
      <c r="I560" s="2289"/>
      <c r="J560" s="2290"/>
      <c r="K560" s="2289"/>
      <c r="L560" s="2289"/>
      <c r="M560" s="2290"/>
      <c r="N560" s="2290"/>
      <c r="O560" s="2290"/>
      <c r="P560" s="2290"/>
      <c r="Q560" s="2289"/>
      <c r="R560" s="2289"/>
      <c r="S560" s="2289"/>
      <c r="T560" s="2291"/>
      <c r="U560" s="2289"/>
      <c r="V560" s="2289"/>
      <c r="W560" s="2289"/>
      <c r="X560" s="2292"/>
      <c r="Y560" s="2292"/>
      <c r="Z560" s="2289"/>
      <c r="AA560" s="2289"/>
      <c r="AB560" s="2289"/>
      <c r="AC560" s="2289"/>
      <c r="AD560" s="2293"/>
      <c r="AE560" s="2293"/>
      <c r="AF560" s="2293"/>
      <c r="AG560" s="2293"/>
      <c r="AH560" s="2289"/>
      <c r="AI560" s="2289"/>
      <c r="AJ560" s="2294"/>
      <c r="AK560" s="2294"/>
      <c r="AL560" s="2289"/>
      <c r="AM560" s="2289"/>
      <c r="AN560" s="2289"/>
      <c r="AO560" s="2289"/>
      <c r="AP560" s="2289"/>
      <c r="AQ560" s="2289"/>
      <c r="AR560" s="2294"/>
      <c r="AS560" s="2294"/>
      <c r="AT560" s="2295"/>
      <c r="AU560" s="2295"/>
      <c r="AV560" s="2295"/>
      <c r="AW560" s="2295"/>
      <c r="AX560" s="2296"/>
      <c r="AY560" s="2289"/>
      <c r="AZ560" s="2289"/>
      <c r="BA560" s="2289"/>
      <c r="BB560" s="2289"/>
      <c r="BC560" s="2289"/>
      <c r="BD560" s="2289"/>
      <c r="BE560" s="2289"/>
      <c r="BF560" s="2289"/>
      <c r="BG560" s="2289"/>
      <c r="BH560" s="2289"/>
      <c r="BI560" s="2289"/>
      <c r="BJ560" s="2289"/>
      <c r="BK560" s="2289"/>
      <c r="BL560" s="2289"/>
      <c r="BM560" s="2289"/>
      <c r="BN560" s="2289"/>
      <c r="BO560" s="2289"/>
      <c r="BP560" s="2289"/>
      <c r="BQ560" s="2289"/>
      <c r="BR560" s="2289"/>
    </row>
    <row r="561" spans="1:70" ht="15.75" customHeight="1">
      <c r="A561" s="2289"/>
      <c r="B561" s="2289"/>
      <c r="C561" s="2289"/>
      <c r="D561" s="2289"/>
      <c r="E561" s="2289"/>
      <c r="F561" s="2289"/>
      <c r="G561" s="2290"/>
      <c r="H561" s="2289"/>
      <c r="I561" s="2289"/>
      <c r="J561" s="2290"/>
      <c r="K561" s="2289"/>
      <c r="L561" s="2289"/>
      <c r="M561" s="2290"/>
      <c r="N561" s="2290"/>
      <c r="O561" s="2290"/>
      <c r="P561" s="2290"/>
      <c r="Q561" s="2289"/>
      <c r="R561" s="2289"/>
      <c r="S561" s="2289"/>
      <c r="T561" s="2291"/>
      <c r="U561" s="2289"/>
      <c r="V561" s="2289"/>
      <c r="W561" s="2289"/>
      <c r="X561" s="2292"/>
      <c r="Y561" s="2292"/>
      <c r="Z561" s="2289"/>
      <c r="AA561" s="2289"/>
      <c r="AB561" s="2289"/>
      <c r="AC561" s="2289"/>
      <c r="AD561" s="2293"/>
      <c r="AE561" s="2293"/>
      <c r="AF561" s="2293"/>
      <c r="AG561" s="2293"/>
      <c r="AH561" s="2289"/>
      <c r="AI561" s="2289"/>
      <c r="AJ561" s="2294"/>
      <c r="AK561" s="2294"/>
      <c r="AL561" s="2289"/>
      <c r="AM561" s="2289"/>
      <c r="AN561" s="2289"/>
      <c r="AO561" s="2289"/>
      <c r="AP561" s="2289"/>
      <c r="AQ561" s="2289"/>
      <c r="AR561" s="2294"/>
      <c r="AS561" s="2294"/>
      <c r="AT561" s="2295"/>
      <c r="AU561" s="2295"/>
      <c r="AV561" s="2295"/>
      <c r="AW561" s="2295"/>
      <c r="AX561" s="2296"/>
      <c r="AY561" s="2289"/>
      <c r="AZ561" s="2289"/>
      <c r="BA561" s="2289"/>
      <c r="BB561" s="2289"/>
      <c r="BC561" s="2289"/>
      <c r="BD561" s="2289"/>
      <c r="BE561" s="2289"/>
      <c r="BF561" s="2289"/>
      <c r="BG561" s="2289"/>
      <c r="BH561" s="2289"/>
      <c r="BI561" s="2289"/>
      <c r="BJ561" s="2289"/>
      <c r="BK561" s="2289"/>
      <c r="BL561" s="2289"/>
      <c r="BM561" s="2289"/>
      <c r="BN561" s="2289"/>
      <c r="BO561" s="2289"/>
      <c r="BP561" s="2289"/>
      <c r="BQ561" s="2289"/>
      <c r="BR561" s="2289"/>
    </row>
    <row r="562" spans="1:70" ht="15.75" customHeight="1">
      <c r="A562" s="2289"/>
      <c r="B562" s="2289"/>
      <c r="C562" s="2289"/>
      <c r="D562" s="2289"/>
      <c r="E562" s="2289"/>
      <c r="F562" s="2289"/>
      <c r="G562" s="2290"/>
      <c r="H562" s="2289"/>
      <c r="I562" s="2289"/>
      <c r="J562" s="2290"/>
      <c r="K562" s="2289"/>
      <c r="L562" s="2289"/>
      <c r="M562" s="2290"/>
      <c r="N562" s="2290"/>
      <c r="O562" s="2290"/>
      <c r="P562" s="2290"/>
      <c r="Q562" s="2289"/>
      <c r="R562" s="2289"/>
      <c r="S562" s="2289"/>
      <c r="T562" s="2291"/>
      <c r="U562" s="2289"/>
      <c r="V562" s="2289"/>
      <c r="W562" s="2289"/>
      <c r="X562" s="2292"/>
      <c r="Y562" s="2292"/>
      <c r="Z562" s="2289"/>
      <c r="AA562" s="2289"/>
      <c r="AB562" s="2289"/>
      <c r="AC562" s="2289"/>
      <c r="AD562" s="2293"/>
      <c r="AE562" s="2293"/>
      <c r="AF562" s="2293"/>
      <c r="AG562" s="2293"/>
      <c r="AH562" s="2289"/>
      <c r="AI562" s="2289"/>
      <c r="AJ562" s="2294"/>
      <c r="AK562" s="2294"/>
      <c r="AL562" s="2289"/>
      <c r="AM562" s="2289"/>
      <c r="AN562" s="2289"/>
      <c r="AO562" s="2289"/>
      <c r="AP562" s="2289"/>
      <c r="AQ562" s="2289"/>
      <c r="AR562" s="2294"/>
      <c r="AS562" s="2294"/>
      <c r="AT562" s="2295"/>
      <c r="AU562" s="2295"/>
      <c r="AV562" s="2295"/>
      <c r="AW562" s="2295"/>
      <c r="AX562" s="2296"/>
      <c r="AY562" s="2289"/>
      <c r="AZ562" s="2289"/>
      <c r="BA562" s="2289"/>
      <c r="BB562" s="2289"/>
      <c r="BC562" s="2289"/>
      <c r="BD562" s="2289"/>
      <c r="BE562" s="2289"/>
      <c r="BF562" s="2289"/>
      <c r="BG562" s="2289"/>
      <c r="BH562" s="2289"/>
      <c r="BI562" s="2289"/>
      <c r="BJ562" s="2289"/>
      <c r="BK562" s="2289"/>
      <c r="BL562" s="2289"/>
      <c r="BM562" s="2289"/>
      <c r="BN562" s="2289"/>
      <c r="BO562" s="2289"/>
      <c r="BP562" s="2289"/>
      <c r="BQ562" s="2289"/>
      <c r="BR562" s="2289"/>
    </row>
    <row r="563" spans="1:70" ht="15.75" customHeight="1">
      <c r="A563" s="2289"/>
      <c r="B563" s="2289"/>
      <c r="C563" s="2289"/>
      <c r="D563" s="2289"/>
      <c r="E563" s="2289"/>
      <c r="F563" s="2289"/>
      <c r="G563" s="2290"/>
      <c r="H563" s="2289"/>
      <c r="I563" s="2289"/>
      <c r="J563" s="2290"/>
      <c r="K563" s="2289"/>
      <c r="L563" s="2289"/>
      <c r="M563" s="2290"/>
      <c r="N563" s="2290"/>
      <c r="O563" s="2290"/>
      <c r="P563" s="2290"/>
      <c r="Q563" s="2289"/>
      <c r="R563" s="2289"/>
      <c r="S563" s="2289"/>
      <c r="T563" s="2291"/>
      <c r="U563" s="2289"/>
      <c r="V563" s="2289"/>
      <c r="W563" s="2289"/>
      <c r="X563" s="2292"/>
      <c r="Y563" s="2292"/>
      <c r="Z563" s="2289"/>
      <c r="AA563" s="2289"/>
      <c r="AB563" s="2289"/>
      <c r="AC563" s="2289"/>
      <c r="AD563" s="2293"/>
      <c r="AE563" s="2293"/>
      <c r="AF563" s="2293"/>
      <c r="AG563" s="2293"/>
      <c r="AH563" s="2289"/>
      <c r="AI563" s="2289"/>
      <c r="AJ563" s="2294"/>
      <c r="AK563" s="2294"/>
      <c r="AL563" s="2289"/>
      <c r="AM563" s="2289"/>
      <c r="AN563" s="2289"/>
      <c r="AO563" s="2289"/>
      <c r="AP563" s="2289"/>
      <c r="AQ563" s="2289"/>
      <c r="AR563" s="2294"/>
      <c r="AS563" s="2294"/>
      <c r="AT563" s="2295"/>
      <c r="AU563" s="2295"/>
      <c r="AV563" s="2295"/>
      <c r="AW563" s="2295"/>
      <c r="AX563" s="2296"/>
      <c r="AY563" s="2289"/>
      <c r="AZ563" s="2289"/>
      <c r="BA563" s="2289"/>
      <c r="BB563" s="2289"/>
      <c r="BC563" s="2289"/>
      <c r="BD563" s="2289"/>
      <c r="BE563" s="2289"/>
      <c r="BF563" s="2289"/>
      <c r="BG563" s="2289"/>
      <c r="BH563" s="2289"/>
      <c r="BI563" s="2289"/>
      <c r="BJ563" s="2289"/>
      <c r="BK563" s="2289"/>
      <c r="BL563" s="2289"/>
      <c r="BM563" s="2289"/>
      <c r="BN563" s="2289"/>
      <c r="BO563" s="2289"/>
      <c r="BP563" s="2289"/>
      <c r="BQ563" s="2289"/>
      <c r="BR563" s="2289"/>
    </row>
    <row r="564" spans="1:70" ht="15.75" customHeight="1">
      <c r="A564" s="2289"/>
      <c r="B564" s="2289"/>
      <c r="C564" s="2289"/>
      <c r="D564" s="2289"/>
      <c r="E564" s="2289"/>
      <c r="F564" s="2289"/>
      <c r="G564" s="2290"/>
      <c r="H564" s="2289"/>
      <c r="I564" s="2289"/>
      <c r="J564" s="2290"/>
      <c r="K564" s="2289"/>
      <c r="L564" s="2289"/>
      <c r="M564" s="2290"/>
      <c r="N564" s="2290"/>
      <c r="O564" s="2290"/>
      <c r="P564" s="2290"/>
      <c r="Q564" s="2289"/>
      <c r="R564" s="2289"/>
      <c r="S564" s="2289"/>
      <c r="T564" s="2291"/>
      <c r="U564" s="2289"/>
      <c r="V564" s="2289"/>
      <c r="W564" s="2289"/>
      <c r="X564" s="2292"/>
      <c r="Y564" s="2292"/>
      <c r="Z564" s="2289"/>
      <c r="AA564" s="2289"/>
      <c r="AB564" s="2289"/>
      <c r="AC564" s="2289"/>
      <c r="AD564" s="2293"/>
      <c r="AE564" s="2293"/>
      <c r="AF564" s="2293"/>
      <c r="AG564" s="2293"/>
      <c r="AH564" s="2289"/>
      <c r="AI564" s="2289"/>
      <c r="AJ564" s="2294"/>
      <c r="AK564" s="2294"/>
      <c r="AL564" s="2289"/>
      <c r="AM564" s="2289"/>
      <c r="AN564" s="2289"/>
      <c r="AO564" s="2289"/>
      <c r="AP564" s="2289"/>
      <c r="AQ564" s="2289"/>
      <c r="AR564" s="2294"/>
      <c r="AS564" s="2294"/>
      <c r="AT564" s="2295"/>
      <c r="AU564" s="2295"/>
      <c r="AV564" s="2295"/>
      <c r="AW564" s="2295"/>
      <c r="AX564" s="2296"/>
      <c r="AY564" s="2289"/>
      <c r="AZ564" s="2289"/>
      <c r="BA564" s="2289"/>
      <c r="BB564" s="2289"/>
      <c r="BC564" s="2289"/>
      <c r="BD564" s="2289"/>
      <c r="BE564" s="2289"/>
      <c r="BF564" s="2289"/>
      <c r="BG564" s="2289"/>
      <c r="BH564" s="2289"/>
      <c r="BI564" s="2289"/>
      <c r="BJ564" s="2289"/>
      <c r="BK564" s="2289"/>
      <c r="BL564" s="2289"/>
      <c r="BM564" s="2289"/>
      <c r="BN564" s="2289"/>
      <c r="BO564" s="2289"/>
      <c r="BP564" s="2289"/>
      <c r="BQ564" s="2289"/>
      <c r="BR564" s="2289"/>
    </row>
    <row r="565" spans="1:70" ht="15.75" customHeight="1">
      <c r="A565" s="2289"/>
      <c r="B565" s="2289"/>
      <c r="C565" s="2289"/>
      <c r="D565" s="2289"/>
      <c r="E565" s="2289"/>
      <c r="F565" s="2289"/>
      <c r="G565" s="2290"/>
      <c r="H565" s="2289"/>
      <c r="I565" s="2289"/>
      <c r="J565" s="2290"/>
      <c r="K565" s="2289"/>
      <c r="L565" s="2289"/>
      <c r="M565" s="2290"/>
      <c r="N565" s="2290"/>
      <c r="O565" s="2290"/>
      <c r="P565" s="2290"/>
      <c r="Q565" s="2289"/>
      <c r="R565" s="2289"/>
      <c r="S565" s="2289"/>
      <c r="T565" s="2291"/>
      <c r="U565" s="2289"/>
      <c r="V565" s="2289"/>
      <c r="W565" s="2289"/>
      <c r="X565" s="2292"/>
      <c r="Y565" s="2292"/>
      <c r="Z565" s="2289"/>
      <c r="AA565" s="2289"/>
      <c r="AB565" s="2289"/>
      <c r="AC565" s="2289"/>
      <c r="AD565" s="2293"/>
      <c r="AE565" s="2293"/>
      <c r="AF565" s="2293"/>
      <c r="AG565" s="2293"/>
      <c r="AH565" s="2289"/>
      <c r="AI565" s="2289"/>
      <c r="AJ565" s="2294"/>
      <c r="AK565" s="2294"/>
      <c r="AL565" s="2289"/>
      <c r="AM565" s="2289"/>
      <c r="AN565" s="2289"/>
      <c r="AO565" s="2289"/>
      <c r="AP565" s="2289"/>
      <c r="AQ565" s="2289"/>
      <c r="AR565" s="2294"/>
      <c r="AS565" s="2294"/>
      <c r="AT565" s="2295"/>
      <c r="AU565" s="2295"/>
      <c r="AV565" s="2295"/>
      <c r="AW565" s="2295"/>
      <c r="AX565" s="2296"/>
      <c r="AY565" s="2289"/>
      <c r="AZ565" s="2289"/>
      <c r="BA565" s="2289"/>
      <c r="BB565" s="2289"/>
      <c r="BC565" s="2289"/>
      <c r="BD565" s="2289"/>
      <c r="BE565" s="2289"/>
      <c r="BF565" s="2289"/>
      <c r="BG565" s="2289"/>
      <c r="BH565" s="2289"/>
      <c r="BI565" s="2289"/>
      <c r="BJ565" s="2289"/>
      <c r="BK565" s="2289"/>
      <c r="BL565" s="2289"/>
      <c r="BM565" s="2289"/>
      <c r="BN565" s="2289"/>
      <c r="BO565" s="2289"/>
      <c r="BP565" s="2289"/>
      <c r="BQ565" s="2289"/>
      <c r="BR565" s="2289"/>
    </row>
    <row r="566" spans="1:70" ht="15.75" customHeight="1">
      <c r="A566" s="2289"/>
      <c r="B566" s="2289"/>
      <c r="C566" s="2289"/>
      <c r="D566" s="2289"/>
      <c r="E566" s="2289"/>
      <c r="F566" s="2289"/>
      <c r="G566" s="2290"/>
      <c r="H566" s="2289"/>
      <c r="I566" s="2289"/>
      <c r="J566" s="2290"/>
      <c r="K566" s="2289"/>
      <c r="L566" s="2289"/>
      <c r="M566" s="2290"/>
      <c r="N566" s="2290"/>
      <c r="O566" s="2290"/>
      <c r="P566" s="2290"/>
      <c r="Q566" s="2289"/>
      <c r="R566" s="2289"/>
      <c r="S566" s="2289"/>
      <c r="T566" s="2291"/>
      <c r="U566" s="2289"/>
      <c r="V566" s="2289"/>
      <c r="W566" s="2289"/>
      <c r="X566" s="2292"/>
      <c r="Y566" s="2292"/>
      <c r="Z566" s="2289"/>
      <c r="AA566" s="2289"/>
      <c r="AB566" s="2289"/>
      <c r="AC566" s="2289"/>
      <c r="AD566" s="2293"/>
      <c r="AE566" s="2293"/>
      <c r="AF566" s="2293"/>
      <c r="AG566" s="2293"/>
      <c r="AH566" s="2289"/>
      <c r="AI566" s="2289"/>
      <c r="AJ566" s="2294"/>
      <c r="AK566" s="2294"/>
      <c r="AL566" s="2289"/>
      <c r="AM566" s="2289"/>
      <c r="AN566" s="2289"/>
      <c r="AO566" s="2289"/>
      <c r="AP566" s="2289"/>
      <c r="AQ566" s="2289"/>
      <c r="AR566" s="2294"/>
      <c r="AS566" s="2294"/>
      <c r="AT566" s="2295"/>
      <c r="AU566" s="2295"/>
      <c r="AV566" s="2295"/>
      <c r="AW566" s="2295"/>
      <c r="AX566" s="2296"/>
      <c r="AY566" s="2289"/>
      <c r="AZ566" s="2289"/>
      <c r="BA566" s="2289"/>
      <c r="BB566" s="2289"/>
      <c r="BC566" s="2289"/>
      <c r="BD566" s="2289"/>
      <c r="BE566" s="2289"/>
      <c r="BF566" s="2289"/>
      <c r="BG566" s="2289"/>
      <c r="BH566" s="2289"/>
      <c r="BI566" s="2289"/>
      <c r="BJ566" s="2289"/>
      <c r="BK566" s="2289"/>
      <c r="BL566" s="2289"/>
      <c r="BM566" s="2289"/>
      <c r="BN566" s="2289"/>
      <c r="BO566" s="2289"/>
      <c r="BP566" s="2289"/>
      <c r="BQ566" s="2289"/>
      <c r="BR566" s="2289"/>
    </row>
    <row r="567" spans="1:70" ht="15.75" customHeight="1">
      <c r="A567" s="2289"/>
      <c r="B567" s="2289"/>
      <c r="C567" s="2289"/>
      <c r="D567" s="2289"/>
      <c r="E567" s="2289"/>
      <c r="F567" s="2289"/>
      <c r="G567" s="2290"/>
      <c r="H567" s="2289"/>
      <c r="I567" s="2289"/>
      <c r="J567" s="2290"/>
      <c r="K567" s="2289"/>
      <c r="L567" s="2289"/>
      <c r="M567" s="2290"/>
      <c r="N567" s="2290"/>
      <c r="O567" s="2290"/>
      <c r="P567" s="2290"/>
      <c r="Q567" s="2289"/>
      <c r="R567" s="2289"/>
      <c r="S567" s="2289"/>
      <c r="T567" s="2291"/>
      <c r="U567" s="2289"/>
      <c r="V567" s="2289"/>
      <c r="W567" s="2289"/>
      <c r="X567" s="2292"/>
      <c r="Y567" s="2292"/>
      <c r="Z567" s="2289"/>
      <c r="AA567" s="2289"/>
      <c r="AB567" s="2289"/>
      <c r="AC567" s="2289"/>
      <c r="AD567" s="2293"/>
      <c r="AE567" s="2293"/>
      <c r="AF567" s="2293"/>
      <c r="AG567" s="2293"/>
      <c r="AH567" s="2289"/>
      <c r="AI567" s="2289"/>
      <c r="AJ567" s="2294"/>
      <c r="AK567" s="2294"/>
      <c r="AL567" s="2289"/>
      <c r="AM567" s="2289"/>
      <c r="AN567" s="2289"/>
      <c r="AO567" s="2289"/>
      <c r="AP567" s="2289"/>
      <c r="AQ567" s="2289"/>
      <c r="AR567" s="2294"/>
      <c r="AS567" s="2294"/>
      <c r="AT567" s="2295"/>
      <c r="AU567" s="2295"/>
      <c r="AV567" s="2295"/>
      <c r="AW567" s="2295"/>
      <c r="AX567" s="2296"/>
      <c r="AY567" s="2289"/>
      <c r="AZ567" s="2289"/>
      <c r="BA567" s="2289"/>
      <c r="BB567" s="2289"/>
      <c r="BC567" s="2289"/>
      <c r="BD567" s="2289"/>
      <c r="BE567" s="2289"/>
      <c r="BF567" s="2289"/>
      <c r="BG567" s="2289"/>
      <c r="BH567" s="2289"/>
      <c r="BI567" s="2289"/>
      <c r="BJ567" s="2289"/>
      <c r="BK567" s="2289"/>
      <c r="BL567" s="2289"/>
      <c r="BM567" s="2289"/>
      <c r="BN567" s="2289"/>
      <c r="BO567" s="2289"/>
      <c r="BP567" s="2289"/>
      <c r="BQ567" s="2289"/>
      <c r="BR567" s="2289"/>
    </row>
    <row r="568" spans="1:70" ht="15.75" customHeight="1">
      <c r="A568" s="2289"/>
      <c r="B568" s="2289"/>
      <c r="C568" s="2289"/>
      <c r="D568" s="2289"/>
      <c r="E568" s="2289"/>
      <c r="F568" s="2289"/>
      <c r="G568" s="2290"/>
      <c r="H568" s="2289"/>
      <c r="I568" s="2289"/>
      <c r="J568" s="2290"/>
      <c r="K568" s="2289"/>
      <c r="L568" s="2289"/>
      <c r="M568" s="2290"/>
      <c r="N568" s="2290"/>
      <c r="O568" s="2290"/>
      <c r="P568" s="2290"/>
      <c r="Q568" s="2289"/>
      <c r="R568" s="2289"/>
      <c r="S568" s="2289"/>
      <c r="T568" s="2291"/>
      <c r="U568" s="2289"/>
      <c r="V568" s="2289"/>
      <c r="W568" s="2289"/>
      <c r="X568" s="2292"/>
      <c r="Y568" s="2292"/>
      <c r="Z568" s="2289"/>
      <c r="AA568" s="2289"/>
      <c r="AB568" s="2289"/>
      <c r="AC568" s="2289"/>
      <c r="AD568" s="2293"/>
      <c r="AE568" s="2293"/>
      <c r="AF568" s="2293"/>
      <c r="AG568" s="2293"/>
      <c r="AH568" s="2289"/>
      <c r="AI568" s="2289"/>
      <c r="AJ568" s="2294"/>
      <c r="AK568" s="2294"/>
      <c r="AL568" s="2289"/>
      <c r="AM568" s="2289"/>
      <c r="AN568" s="2289"/>
      <c r="AO568" s="2289"/>
      <c r="AP568" s="2289"/>
      <c r="AQ568" s="2289"/>
      <c r="AR568" s="2294"/>
      <c r="AS568" s="2294"/>
      <c r="AT568" s="2295"/>
      <c r="AU568" s="2295"/>
      <c r="AV568" s="2295"/>
      <c r="AW568" s="2295"/>
      <c r="AX568" s="2296"/>
      <c r="AY568" s="2289"/>
      <c r="AZ568" s="2289"/>
      <c r="BA568" s="2289"/>
      <c r="BB568" s="2289"/>
      <c r="BC568" s="2289"/>
      <c r="BD568" s="2289"/>
      <c r="BE568" s="2289"/>
      <c r="BF568" s="2289"/>
      <c r="BG568" s="2289"/>
      <c r="BH568" s="2289"/>
      <c r="BI568" s="2289"/>
      <c r="BJ568" s="2289"/>
      <c r="BK568" s="2289"/>
      <c r="BL568" s="2289"/>
      <c r="BM568" s="2289"/>
      <c r="BN568" s="2289"/>
      <c r="BO568" s="2289"/>
      <c r="BP568" s="2289"/>
      <c r="BQ568" s="2289"/>
      <c r="BR568" s="2289"/>
    </row>
    <row r="569" spans="1:70" ht="15.75" customHeight="1">
      <c r="A569" s="2289"/>
      <c r="B569" s="2289"/>
      <c r="C569" s="2289"/>
      <c r="D569" s="2289"/>
      <c r="E569" s="2289"/>
      <c r="F569" s="2289"/>
      <c r="G569" s="2290"/>
      <c r="H569" s="2289"/>
      <c r="I569" s="2289"/>
      <c r="J569" s="2290"/>
      <c r="K569" s="2289"/>
      <c r="L569" s="2289"/>
      <c r="M569" s="2290"/>
      <c r="N569" s="2290"/>
      <c r="O569" s="2290"/>
      <c r="P569" s="2290"/>
      <c r="Q569" s="2289"/>
      <c r="R569" s="2289"/>
      <c r="S569" s="2289"/>
      <c r="T569" s="2291"/>
      <c r="U569" s="2289"/>
      <c r="V569" s="2289"/>
      <c r="W569" s="2289"/>
      <c r="X569" s="2292"/>
      <c r="Y569" s="2292"/>
      <c r="Z569" s="2289"/>
      <c r="AA569" s="2289"/>
      <c r="AB569" s="2289"/>
      <c r="AC569" s="2289"/>
      <c r="AD569" s="2293"/>
      <c r="AE569" s="2293"/>
      <c r="AF569" s="2293"/>
      <c r="AG569" s="2293"/>
      <c r="AH569" s="2289"/>
      <c r="AI569" s="2289"/>
      <c r="AJ569" s="2294"/>
      <c r="AK569" s="2294"/>
      <c r="AL569" s="2289"/>
      <c r="AM569" s="2289"/>
      <c r="AN569" s="2289"/>
      <c r="AO569" s="2289"/>
      <c r="AP569" s="2289"/>
      <c r="AQ569" s="2289"/>
      <c r="AR569" s="2294"/>
      <c r="AS569" s="2294"/>
      <c r="AT569" s="2295"/>
      <c r="AU569" s="2295"/>
      <c r="AV569" s="2295"/>
      <c r="AW569" s="2295"/>
      <c r="AX569" s="2296"/>
      <c r="AY569" s="2289"/>
      <c r="AZ569" s="2289"/>
      <c r="BA569" s="2289"/>
      <c r="BB569" s="2289"/>
      <c r="BC569" s="2289"/>
      <c r="BD569" s="2289"/>
      <c r="BE569" s="2289"/>
      <c r="BF569" s="2289"/>
      <c r="BG569" s="2289"/>
      <c r="BH569" s="2289"/>
      <c r="BI569" s="2289"/>
      <c r="BJ569" s="2289"/>
      <c r="BK569" s="2289"/>
      <c r="BL569" s="2289"/>
      <c r="BM569" s="2289"/>
      <c r="BN569" s="2289"/>
      <c r="BO569" s="2289"/>
      <c r="BP569" s="2289"/>
      <c r="BQ569" s="2289"/>
      <c r="BR569" s="2289"/>
    </row>
    <row r="570" spans="1:70" ht="15.75" customHeight="1">
      <c r="A570" s="2289"/>
      <c r="B570" s="2289"/>
      <c r="C570" s="2289"/>
      <c r="D570" s="2289"/>
      <c r="E570" s="2289"/>
      <c r="F570" s="2289"/>
      <c r="G570" s="2290"/>
      <c r="H570" s="2289"/>
      <c r="I570" s="2289"/>
      <c r="J570" s="2290"/>
      <c r="K570" s="2289"/>
      <c r="L570" s="2289"/>
      <c r="M570" s="2290"/>
      <c r="N570" s="2290"/>
      <c r="O570" s="2290"/>
      <c r="P570" s="2290"/>
      <c r="Q570" s="2289"/>
      <c r="R570" s="2289"/>
      <c r="S570" s="2289"/>
      <c r="T570" s="2291"/>
      <c r="U570" s="2289"/>
      <c r="V570" s="2289"/>
      <c r="W570" s="2289"/>
      <c r="X570" s="2292"/>
      <c r="Y570" s="2292"/>
      <c r="Z570" s="2289"/>
      <c r="AA570" s="2289"/>
      <c r="AB570" s="2289"/>
      <c r="AC570" s="2289"/>
      <c r="AD570" s="2293"/>
      <c r="AE570" s="2293"/>
      <c r="AF570" s="2293"/>
      <c r="AG570" s="2293"/>
      <c r="AH570" s="2289"/>
      <c r="AI570" s="2289"/>
      <c r="AJ570" s="2294"/>
      <c r="AK570" s="2294"/>
      <c r="AL570" s="2289"/>
      <c r="AM570" s="2289"/>
      <c r="AN570" s="2289"/>
      <c r="AO570" s="2289"/>
      <c r="AP570" s="2289"/>
      <c r="AQ570" s="2289"/>
      <c r="AR570" s="2294"/>
      <c r="AS570" s="2294"/>
      <c r="AT570" s="2295"/>
      <c r="AU570" s="2295"/>
      <c r="AV570" s="2295"/>
      <c r="AW570" s="2295"/>
      <c r="AX570" s="2296"/>
      <c r="AY570" s="2289"/>
      <c r="AZ570" s="2289"/>
      <c r="BA570" s="2289"/>
      <c r="BB570" s="2289"/>
      <c r="BC570" s="2289"/>
      <c r="BD570" s="2289"/>
      <c r="BE570" s="2289"/>
      <c r="BF570" s="2289"/>
      <c r="BG570" s="2289"/>
      <c r="BH570" s="2289"/>
      <c r="BI570" s="2289"/>
      <c r="BJ570" s="2289"/>
      <c r="BK570" s="2289"/>
      <c r="BL570" s="2289"/>
      <c r="BM570" s="2289"/>
      <c r="BN570" s="2289"/>
      <c r="BO570" s="2289"/>
      <c r="BP570" s="2289"/>
      <c r="BQ570" s="2289"/>
      <c r="BR570" s="2289"/>
    </row>
    <row r="571" spans="1:70" ht="15.75" customHeight="1">
      <c r="A571" s="2289"/>
      <c r="B571" s="2289"/>
      <c r="C571" s="2289"/>
      <c r="D571" s="2289"/>
      <c r="E571" s="2289"/>
      <c r="F571" s="2289"/>
      <c r="G571" s="2290"/>
      <c r="H571" s="2289"/>
      <c r="I571" s="2289"/>
      <c r="J571" s="2290"/>
      <c r="K571" s="2289"/>
      <c r="L571" s="2289"/>
      <c r="M571" s="2290"/>
      <c r="N571" s="2290"/>
      <c r="O571" s="2290"/>
      <c r="P571" s="2290"/>
      <c r="Q571" s="2289"/>
      <c r="R571" s="2289"/>
      <c r="S571" s="2289"/>
      <c r="T571" s="2291"/>
      <c r="U571" s="2289"/>
      <c r="V571" s="2289"/>
      <c r="W571" s="2289"/>
      <c r="X571" s="2292"/>
      <c r="Y571" s="2292"/>
      <c r="Z571" s="2289"/>
      <c r="AA571" s="2289"/>
      <c r="AB571" s="2289"/>
      <c r="AC571" s="2289"/>
      <c r="AD571" s="2293"/>
      <c r="AE571" s="2293"/>
      <c r="AF571" s="2293"/>
      <c r="AG571" s="2293"/>
      <c r="AH571" s="2289"/>
      <c r="AI571" s="2289"/>
      <c r="AJ571" s="2294"/>
      <c r="AK571" s="2294"/>
      <c r="AL571" s="2289"/>
      <c r="AM571" s="2289"/>
      <c r="AN571" s="2289"/>
      <c r="AO571" s="2289"/>
      <c r="AP571" s="2289"/>
      <c r="AQ571" s="2289"/>
      <c r="AR571" s="2294"/>
      <c r="AS571" s="2294"/>
      <c r="AT571" s="2295"/>
      <c r="AU571" s="2295"/>
      <c r="AV571" s="2295"/>
      <c r="AW571" s="2295"/>
      <c r="AX571" s="2296"/>
      <c r="AY571" s="2289"/>
      <c r="AZ571" s="2289"/>
      <c r="BA571" s="2289"/>
      <c r="BB571" s="2289"/>
      <c r="BC571" s="2289"/>
      <c r="BD571" s="2289"/>
      <c r="BE571" s="2289"/>
      <c r="BF571" s="2289"/>
      <c r="BG571" s="2289"/>
      <c r="BH571" s="2289"/>
      <c r="BI571" s="2289"/>
      <c r="BJ571" s="2289"/>
      <c r="BK571" s="2289"/>
      <c r="BL571" s="2289"/>
      <c r="BM571" s="2289"/>
      <c r="BN571" s="2289"/>
      <c r="BO571" s="2289"/>
      <c r="BP571" s="2289"/>
      <c r="BQ571" s="2289"/>
      <c r="BR571" s="2289"/>
    </row>
    <row r="572" spans="1:70" ht="15.75" customHeight="1">
      <c r="A572" s="2289"/>
      <c r="B572" s="2289"/>
      <c r="C572" s="2289"/>
      <c r="D572" s="2289"/>
      <c r="E572" s="2289"/>
      <c r="F572" s="2289"/>
      <c r="G572" s="2290"/>
      <c r="H572" s="2289"/>
      <c r="I572" s="2289"/>
      <c r="J572" s="2290"/>
      <c r="K572" s="2289"/>
      <c r="L572" s="2289"/>
      <c r="M572" s="2290"/>
      <c r="N572" s="2290"/>
      <c r="O572" s="2290"/>
      <c r="P572" s="2290"/>
      <c r="Q572" s="2289"/>
      <c r="R572" s="2289"/>
      <c r="S572" s="2289"/>
      <c r="T572" s="2291"/>
      <c r="U572" s="2289"/>
      <c r="V572" s="2289"/>
      <c r="W572" s="2289"/>
      <c r="X572" s="2292"/>
      <c r="Y572" s="2292"/>
      <c r="Z572" s="2289"/>
      <c r="AA572" s="2289"/>
      <c r="AB572" s="2289"/>
      <c r="AC572" s="2289"/>
      <c r="AD572" s="2293"/>
      <c r="AE572" s="2293"/>
      <c r="AF572" s="2293"/>
      <c r="AG572" s="2293"/>
      <c r="AH572" s="2289"/>
      <c r="AI572" s="2289"/>
      <c r="AJ572" s="2294"/>
      <c r="AK572" s="2294"/>
      <c r="AL572" s="2289"/>
      <c r="AM572" s="2289"/>
      <c r="AN572" s="2289"/>
      <c r="AO572" s="2289"/>
      <c r="AP572" s="2289"/>
      <c r="AQ572" s="2289"/>
      <c r="AR572" s="2294"/>
      <c r="AS572" s="2294"/>
      <c r="AT572" s="2295"/>
      <c r="AU572" s="2295"/>
      <c r="AV572" s="2295"/>
      <c r="AW572" s="2295"/>
      <c r="AX572" s="2296"/>
      <c r="AY572" s="2289"/>
      <c r="AZ572" s="2289"/>
      <c r="BA572" s="2289"/>
      <c r="BB572" s="2289"/>
      <c r="BC572" s="2289"/>
      <c r="BD572" s="2289"/>
      <c r="BE572" s="2289"/>
      <c r="BF572" s="2289"/>
      <c r="BG572" s="2289"/>
      <c r="BH572" s="2289"/>
      <c r="BI572" s="2289"/>
      <c r="BJ572" s="2289"/>
      <c r="BK572" s="2289"/>
      <c r="BL572" s="2289"/>
      <c r="BM572" s="2289"/>
      <c r="BN572" s="2289"/>
      <c r="BO572" s="2289"/>
      <c r="BP572" s="2289"/>
      <c r="BQ572" s="2289"/>
      <c r="BR572" s="2289"/>
    </row>
    <row r="573" spans="1:70" ht="15.75" customHeight="1">
      <c r="A573" s="2289"/>
      <c r="B573" s="2289"/>
      <c r="C573" s="2289"/>
      <c r="D573" s="2289"/>
      <c r="E573" s="2289"/>
      <c r="F573" s="2289"/>
      <c r="G573" s="2290"/>
      <c r="H573" s="2289"/>
      <c r="I573" s="2289"/>
      <c r="J573" s="2290"/>
      <c r="K573" s="2289"/>
      <c r="L573" s="2289"/>
      <c r="M573" s="2290"/>
      <c r="N573" s="2290"/>
      <c r="O573" s="2290"/>
      <c r="P573" s="2290"/>
      <c r="Q573" s="2289"/>
      <c r="R573" s="2289"/>
      <c r="S573" s="2289"/>
      <c r="T573" s="2291"/>
      <c r="U573" s="2289"/>
      <c r="V573" s="2289"/>
      <c r="W573" s="2289"/>
      <c r="X573" s="2292"/>
      <c r="Y573" s="2292"/>
      <c r="Z573" s="2289"/>
      <c r="AA573" s="2289"/>
      <c r="AB573" s="2289"/>
      <c r="AC573" s="2289"/>
      <c r="AD573" s="2293"/>
      <c r="AE573" s="2293"/>
      <c r="AF573" s="2293"/>
      <c r="AG573" s="2293"/>
      <c r="AH573" s="2289"/>
      <c r="AI573" s="2289"/>
      <c r="AJ573" s="2294"/>
      <c r="AK573" s="2294"/>
      <c r="AL573" s="2289"/>
      <c r="AM573" s="2289"/>
      <c r="AN573" s="2289"/>
      <c r="AO573" s="2289"/>
      <c r="AP573" s="2289"/>
      <c r="AQ573" s="2289"/>
      <c r="AR573" s="2294"/>
      <c r="AS573" s="2294"/>
      <c r="AT573" s="2295"/>
      <c r="AU573" s="2295"/>
      <c r="AV573" s="2295"/>
      <c r="AW573" s="2295"/>
      <c r="AX573" s="2296"/>
      <c r="AY573" s="2289"/>
      <c r="AZ573" s="2289"/>
      <c r="BA573" s="2289"/>
      <c r="BB573" s="2289"/>
      <c r="BC573" s="2289"/>
      <c r="BD573" s="2289"/>
      <c r="BE573" s="2289"/>
      <c r="BF573" s="2289"/>
      <c r="BG573" s="2289"/>
      <c r="BH573" s="2289"/>
      <c r="BI573" s="2289"/>
      <c r="BJ573" s="2289"/>
      <c r="BK573" s="2289"/>
      <c r="BL573" s="2289"/>
      <c r="BM573" s="2289"/>
      <c r="BN573" s="2289"/>
      <c r="BO573" s="2289"/>
      <c r="BP573" s="2289"/>
      <c r="BQ573" s="2289"/>
      <c r="BR573" s="2289"/>
    </row>
    <row r="574" spans="1:70" ht="15.75" customHeight="1">
      <c r="A574" s="2289"/>
      <c r="B574" s="2289"/>
      <c r="C574" s="2289"/>
      <c r="D574" s="2289"/>
      <c r="E574" s="2289"/>
      <c r="F574" s="2289"/>
      <c r="G574" s="2290"/>
      <c r="H574" s="2289"/>
      <c r="I574" s="2289"/>
      <c r="J574" s="2290"/>
      <c r="K574" s="2289"/>
      <c r="L574" s="2289"/>
      <c r="M574" s="2290"/>
      <c r="N574" s="2290"/>
      <c r="O574" s="2290"/>
      <c r="P574" s="2290"/>
      <c r="Q574" s="2289"/>
      <c r="R574" s="2289"/>
      <c r="S574" s="2289"/>
      <c r="T574" s="2291"/>
      <c r="U574" s="2289"/>
      <c r="V574" s="2289"/>
      <c r="W574" s="2289"/>
      <c r="X574" s="2292"/>
      <c r="Y574" s="2292"/>
      <c r="Z574" s="2289"/>
      <c r="AA574" s="2289"/>
      <c r="AB574" s="2289"/>
      <c r="AC574" s="2289"/>
      <c r="AD574" s="2293"/>
      <c r="AE574" s="2293"/>
      <c r="AF574" s="2293"/>
      <c r="AG574" s="2293"/>
      <c r="AH574" s="2289"/>
      <c r="AI574" s="2289"/>
      <c r="AJ574" s="2294"/>
      <c r="AK574" s="2294"/>
      <c r="AL574" s="2289"/>
      <c r="AM574" s="2289"/>
      <c r="AN574" s="2289"/>
      <c r="AO574" s="2289"/>
      <c r="AP574" s="2289"/>
      <c r="AQ574" s="2289"/>
      <c r="AR574" s="2294"/>
      <c r="AS574" s="2294"/>
      <c r="AT574" s="2295"/>
      <c r="AU574" s="2295"/>
      <c r="AV574" s="2295"/>
      <c r="AW574" s="2295"/>
      <c r="AX574" s="2296"/>
      <c r="AY574" s="2289"/>
      <c r="AZ574" s="2289"/>
      <c r="BA574" s="2289"/>
      <c r="BB574" s="2289"/>
      <c r="BC574" s="2289"/>
      <c r="BD574" s="2289"/>
      <c r="BE574" s="2289"/>
      <c r="BF574" s="2289"/>
      <c r="BG574" s="2289"/>
      <c r="BH574" s="2289"/>
      <c r="BI574" s="2289"/>
      <c r="BJ574" s="2289"/>
      <c r="BK574" s="2289"/>
      <c r="BL574" s="2289"/>
      <c r="BM574" s="2289"/>
      <c r="BN574" s="2289"/>
      <c r="BO574" s="2289"/>
      <c r="BP574" s="2289"/>
      <c r="BQ574" s="2289"/>
      <c r="BR574" s="2289"/>
    </row>
    <row r="575" spans="1:70" ht="15.75" customHeight="1">
      <c r="A575" s="2289"/>
      <c r="B575" s="2289"/>
      <c r="C575" s="2289"/>
      <c r="D575" s="2289"/>
      <c r="E575" s="2289"/>
      <c r="F575" s="2289"/>
      <c r="G575" s="2290"/>
      <c r="H575" s="2289"/>
      <c r="I575" s="2289"/>
      <c r="J575" s="2290"/>
      <c r="K575" s="2289"/>
      <c r="L575" s="2289"/>
      <c r="M575" s="2290"/>
      <c r="N575" s="2290"/>
      <c r="O575" s="2290"/>
      <c r="P575" s="2290"/>
      <c r="Q575" s="2289"/>
      <c r="R575" s="2289"/>
      <c r="S575" s="2289"/>
      <c r="T575" s="2291"/>
      <c r="U575" s="2289"/>
      <c r="V575" s="2289"/>
      <c r="W575" s="2289"/>
      <c r="X575" s="2292"/>
      <c r="Y575" s="2292"/>
      <c r="Z575" s="2289"/>
      <c r="AA575" s="2289"/>
      <c r="AB575" s="2289"/>
      <c r="AC575" s="2289"/>
      <c r="AD575" s="2293"/>
      <c r="AE575" s="2293"/>
      <c r="AF575" s="2293"/>
      <c r="AG575" s="2293"/>
      <c r="AH575" s="2289"/>
      <c r="AI575" s="2289"/>
      <c r="AJ575" s="2294"/>
      <c r="AK575" s="2294"/>
      <c r="AL575" s="2289"/>
      <c r="AM575" s="2289"/>
      <c r="AN575" s="2289"/>
      <c r="AO575" s="2289"/>
      <c r="AP575" s="2289"/>
      <c r="AQ575" s="2289"/>
      <c r="AR575" s="2294"/>
      <c r="AS575" s="2294"/>
      <c r="AT575" s="2295"/>
      <c r="AU575" s="2295"/>
      <c r="AV575" s="2295"/>
      <c r="AW575" s="2295"/>
      <c r="AX575" s="2296"/>
      <c r="AY575" s="2289"/>
      <c r="AZ575" s="2289"/>
      <c r="BA575" s="2289"/>
      <c r="BB575" s="2289"/>
      <c r="BC575" s="2289"/>
      <c r="BD575" s="2289"/>
      <c r="BE575" s="2289"/>
      <c r="BF575" s="2289"/>
      <c r="BG575" s="2289"/>
      <c r="BH575" s="2289"/>
      <c r="BI575" s="2289"/>
      <c r="BJ575" s="2289"/>
      <c r="BK575" s="2289"/>
      <c r="BL575" s="2289"/>
      <c r="BM575" s="2289"/>
      <c r="BN575" s="2289"/>
      <c r="BO575" s="2289"/>
      <c r="BP575" s="2289"/>
      <c r="BQ575" s="2289"/>
      <c r="BR575" s="2289"/>
    </row>
    <row r="576" spans="1:70" ht="15.75" customHeight="1">
      <c r="A576" s="2289"/>
      <c r="B576" s="2289"/>
      <c r="C576" s="2289"/>
      <c r="D576" s="2289"/>
      <c r="E576" s="2289"/>
      <c r="F576" s="2289"/>
      <c r="G576" s="2290"/>
      <c r="H576" s="2289"/>
      <c r="I576" s="2289"/>
      <c r="J576" s="2290"/>
      <c r="K576" s="2289"/>
      <c r="L576" s="2289"/>
      <c r="M576" s="2290"/>
      <c r="N576" s="2290"/>
      <c r="O576" s="2290"/>
      <c r="P576" s="2290"/>
      <c r="Q576" s="2289"/>
      <c r="R576" s="2289"/>
      <c r="S576" s="2289"/>
      <c r="T576" s="2291"/>
      <c r="U576" s="2289"/>
      <c r="V576" s="2289"/>
      <c r="W576" s="2289"/>
      <c r="X576" s="2292"/>
      <c r="Y576" s="2292"/>
      <c r="Z576" s="2289"/>
      <c r="AA576" s="2289"/>
      <c r="AB576" s="2289"/>
      <c r="AC576" s="2289"/>
      <c r="AD576" s="2293"/>
      <c r="AE576" s="2293"/>
      <c r="AF576" s="2293"/>
      <c r="AG576" s="2293"/>
      <c r="AH576" s="2289"/>
      <c r="AI576" s="2289"/>
      <c r="AJ576" s="2294"/>
      <c r="AK576" s="2294"/>
      <c r="AL576" s="2289"/>
      <c r="AM576" s="2289"/>
      <c r="AN576" s="2289"/>
      <c r="AO576" s="2289"/>
      <c r="AP576" s="2289"/>
      <c r="AQ576" s="2289"/>
      <c r="AR576" s="2294"/>
      <c r="AS576" s="2294"/>
      <c r="AT576" s="2295"/>
      <c r="AU576" s="2295"/>
      <c r="AV576" s="2295"/>
      <c r="AW576" s="2295"/>
      <c r="AX576" s="2296"/>
      <c r="AY576" s="2289"/>
      <c r="AZ576" s="2289"/>
      <c r="BA576" s="2289"/>
      <c r="BB576" s="2289"/>
      <c r="BC576" s="2289"/>
      <c r="BD576" s="2289"/>
      <c r="BE576" s="2289"/>
      <c r="BF576" s="2289"/>
      <c r="BG576" s="2289"/>
      <c r="BH576" s="2289"/>
      <c r="BI576" s="2289"/>
      <c r="BJ576" s="2289"/>
      <c r="BK576" s="2289"/>
      <c r="BL576" s="2289"/>
      <c r="BM576" s="2289"/>
      <c r="BN576" s="2289"/>
      <c r="BO576" s="2289"/>
      <c r="BP576" s="2289"/>
      <c r="BQ576" s="2289"/>
      <c r="BR576" s="2289"/>
    </row>
    <row r="577" spans="1:70" ht="15.75" customHeight="1">
      <c r="A577" s="2289"/>
      <c r="B577" s="2289"/>
      <c r="C577" s="2289"/>
      <c r="D577" s="2289"/>
      <c r="E577" s="2289"/>
      <c r="F577" s="2289"/>
      <c r="G577" s="2290"/>
      <c r="H577" s="2289"/>
      <c r="I577" s="2289"/>
      <c r="J577" s="2290"/>
      <c r="K577" s="2289"/>
      <c r="L577" s="2289"/>
      <c r="M577" s="2290"/>
      <c r="N577" s="2290"/>
      <c r="O577" s="2290"/>
      <c r="P577" s="2290"/>
      <c r="Q577" s="2289"/>
      <c r="R577" s="2289"/>
      <c r="S577" s="2289"/>
      <c r="T577" s="2291"/>
      <c r="U577" s="2289"/>
      <c r="V577" s="2289"/>
      <c r="W577" s="2289"/>
      <c r="X577" s="2292"/>
      <c r="Y577" s="2292"/>
      <c r="Z577" s="2289"/>
      <c r="AA577" s="2289"/>
      <c r="AB577" s="2289"/>
      <c r="AC577" s="2289"/>
      <c r="AD577" s="2293"/>
      <c r="AE577" s="2293"/>
      <c r="AF577" s="2293"/>
      <c r="AG577" s="2293"/>
      <c r="AH577" s="2289"/>
      <c r="AI577" s="2289"/>
      <c r="AJ577" s="2294"/>
      <c r="AK577" s="2294"/>
      <c r="AL577" s="2289"/>
      <c r="AM577" s="2289"/>
      <c r="AN577" s="2289"/>
      <c r="AO577" s="2289"/>
      <c r="AP577" s="2289"/>
      <c r="AQ577" s="2289"/>
      <c r="AR577" s="2294"/>
      <c r="AS577" s="2294"/>
      <c r="AT577" s="2295"/>
      <c r="AU577" s="2295"/>
      <c r="AV577" s="2295"/>
      <c r="AW577" s="2295"/>
      <c r="AX577" s="2296"/>
      <c r="AY577" s="2289"/>
      <c r="AZ577" s="2289"/>
      <c r="BA577" s="2289"/>
      <c r="BB577" s="2289"/>
      <c r="BC577" s="2289"/>
      <c r="BD577" s="2289"/>
      <c r="BE577" s="2289"/>
      <c r="BF577" s="2289"/>
      <c r="BG577" s="2289"/>
      <c r="BH577" s="2289"/>
      <c r="BI577" s="2289"/>
      <c r="BJ577" s="2289"/>
      <c r="BK577" s="2289"/>
      <c r="BL577" s="2289"/>
      <c r="BM577" s="2289"/>
      <c r="BN577" s="2289"/>
      <c r="BO577" s="2289"/>
      <c r="BP577" s="2289"/>
      <c r="BQ577" s="2289"/>
      <c r="BR577" s="2289"/>
    </row>
    <row r="578" spans="1:70" ht="15.75" customHeight="1">
      <c r="A578" s="2289"/>
      <c r="B578" s="2289"/>
      <c r="C578" s="2289"/>
      <c r="D578" s="2289"/>
      <c r="E578" s="2289"/>
      <c r="F578" s="2289"/>
      <c r="G578" s="2290"/>
      <c r="H578" s="2289"/>
      <c r="I578" s="2289"/>
      <c r="J578" s="2290"/>
      <c r="K578" s="2289"/>
      <c r="L578" s="2289"/>
      <c r="M578" s="2290"/>
      <c r="N578" s="2290"/>
      <c r="O578" s="2290"/>
      <c r="P578" s="2290"/>
      <c r="Q578" s="2289"/>
      <c r="R578" s="2289"/>
      <c r="S578" s="2289"/>
      <c r="T578" s="2291"/>
      <c r="U578" s="2289"/>
      <c r="V578" s="2289"/>
      <c r="W578" s="2289"/>
      <c r="X578" s="2292"/>
      <c r="Y578" s="2292"/>
      <c r="Z578" s="2289"/>
      <c r="AA578" s="2289"/>
      <c r="AB578" s="2289"/>
      <c r="AC578" s="2289"/>
      <c r="AD578" s="2293"/>
      <c r="AE578" s="2293"/>
      <c r="AF578" s="2293"/>
      <c r="AG578" s="2293"/>
      <c r="AH578" s="2289"/>
      <c r="AI578" s="2289"/>
      <c r="AJ578" s="2294"/>
      <c r="AK578" s="2294"/>
      <c r="AL578" s="2289"/>
      <c r="AM578" s="2289"/>
      <c r="AN578" s="2289"/>
      <c r="AO578" s="2289"/>
      <c r="AP578" s="2289"/>
      <c r="AQ578" s="2289"/>
      <c r="AR578" s="2294"/>
      <c r="AS578" s="2294"/>
      <c r="AT578" s="2295"/>
      <c r="AU578" s="2295"/>
      <c r="AV578" s="2295"/>
      <c r="AW578" s="2295"/>
      <c r="AX578" s="2296"/>
      <c r="AY578" s="2289"/>
      <c r="AZ578" s="2289"/>
      <c r="BA578" s="2289"/>
      <c r="BB578" s="2289"/>
      <c r="BC578" s="2289"/>
      <c r="BD578" s="2289"/>
      <c r="BE578" s="2289"/>
      <c r="BF578" s="2289"/>
      <c r="BG578" s="2289"/>
      <c r="BH578" s="2289"/>
      <c r="BI578" s="2289"/>
      <c r="BJ578" s="2289"/>
      <c r="BK578" s="2289"/>
      <c r="BL578" s="2289"/>
      <c r="BM578" s="2289"/>
      <c r="BN578" s="2289"/>
      <c r="BO578" s="2289"/>
      <c r="BP578" s="2289"/>
      <c r="BQ578" s="2289"/>
      <c r="BR578" s="2289"/>
    </row>
    <row r="579" spans="1:70" ht="15.75" customHeight="1">
      <c r="A579" s="2289"/>
      <c r="B579" s="2289"/>
      <c r="C579" s="2289"/>
      <c r="D579" s="2289"/>
      <c r="E579" s="2289"/>
      <c r="F579" s="2289"/>
      <c r="G579" s="2290"/>
      <c r="H579" s="2289"/>
      <c r="I579" s="2289"/>
      <c r="J579" s="2290"/>
      <c r="K579" s="2289"/>
      <c r="L579" s="2289"/>
      <c r="M579" s="2290"/>
      <c r="N579" s="2290"/>
      <c r="O579" s="2290"/>
      <c r="P579" s="2290"/>
      <c r="Q579" s="2289"/>
      <c r="R579" s="2289"/>
      <c r="S579" s="2289"/>
      <c r="T579" s="2291"/>
      <c r="U579" s="2289"/>
      <c r="V579" s="2289"/>
      <c r="W579" s="2289"/>
      <c r="X579" s="2292"/>
      <c r="Y579" s="2292"/>
      <c r="Z579" s="2289"/>
      <c r="AA579" s="2289"/>
      <c r="AB579" s="2289"/>
      <c r="AC579" s="2289"/>
      <c r="AD579" s="2293"/>
      <c r="AE579" s="2293"/>
      <c r="AF579" s="2293"/>
      <c r="AG579" s="2293"/>
      <c r="AH579" s="2289"/>
      <c r="AI579" s="2289"/>
      <c r="AJ579" s="2294"/>
      <c r="AK579" s="2294"/>
      <c r="AL579" s="2289"/>
      <c r="AM579" s="2289"/>
      <c r="AN579" s="2289"/>
      <c r="AO579" s="2289"/>
      <c r="AP579" s="2289"/>
      <c r="AQ579" s="2289"/>
      <c r="AR579" s="2294"/>
      <c r="AS579" s="2294"/>
      <c r="AT579" s="2295"/>
      <c r="AU579" s="2295"/>
      <c r="AV579" s="2295"/>
      <c r="AW579" s="2295"/>
      <c r="AX579" s="2296"/>
      <c r="AY579" s="2289"/>
      <c r="AZ579" s="2289"/>
      <c r="BA579" s="2289"/>
      <c r="BB579" s="2289"/>
      <c r="BC579" s="2289"/>
      <c r="BD579" s="2289"/>
      <c r="BE579" s="2289"/>
      <c r="BF579" s="2289"/>
      <c r="BG579" s="2289"/>
      <c r="BH579" s="2289"/>
      <c r="BI579" s="2289"/>
      <c r="BJ579" s="2289"/>
      <c r="BK579" s="2289"/>
      <c r="BL579" s="2289"/>
      <c r="BM579" s="2289"/>
      <c r="BN579" s="2289"/>
      <c r="BO579" s="2289"/>
      <c r="BP579" s="2289"/>
      <c r="BQ579" s="2289"/>
      <c r="BR579" s="2289"/>
    </row>
    <row r="580" spans="1:70" ht="15.75" customHeight="1">
      <c r="A580" s="2289"/>
      <c r="B580" s="2289"/>
      <c r="C580" s="2289"/>
      <c r="D580" s="2289"/>
      <c r="E580" s="2289"/>
      <c r="F580" s="2289"/>
      <c r="G580" s="2290"/>
      <c r="H580" s="2289"/>
      <c r="I580" s="2289"/>
      <c r="J580" s="2290"/>
      <c r="K580" s="2289"/>
      <c r="L580" s="2289"/>
      <c r="M580" s="2290"/>
      <c r="N580" s="2290"/>
      <c r="O580" s="2290"/>
      <c r="P580" s="2290"/>
      <c r="Q580" s="2289"/>
      <c r="R580" s="2289"/>
      <c r="S580" s="2289"/>
      <c r="T580" s="2291"/>
      <c r="U580" s="2289"/>
      <c r="V580" s="2289"/>
      <c r="W580" s="2289"/>
      <c r="X580" s="2292"/>
      <c r="Y580" s="2292"/>
      <c r="Z580" s="2289"/>
      <c r="AA580" s="2289"/>
      <c r="AB580" s="2289"/>
      <c r="AC580" s="2289"/>
      <c r="AD580" s="2293"/>
      <c r="AE580" s="2293"/>
      <c r="AF580" s="2293"/>
      <c r="AG580" s="2293"/>
      <c r="AH580" s="2289"/>
      <c r="AI580" s="2289"/>
      <c r="AJ580" s="2294"/>
      <c r="AK580" s="2294"/>
      <c r="AL580" s="2289"/>
      <c r="AM580" s="2289"/>
      <c r="AN580" s="2289"/>
      <c r="AO580" s="2289"/>
      <c r="AP580" s="2289"/>
      <c r="AQ580" s="2289"/>
      <c r="AR580" s="2294"/>
      <c r="AS580" s="2294"/>
      <c r="AT580" s="2295"/>
      <c r="AU580" s="2295"/>
      <c r="AV580" s="2295"/>
      <c r="AW580" s="2295"/>
      <c r="AX580" s="2296"/>
      <c r="AY580" s="2289"/>
      <c r="AZ580" s="2289"/>
      <c r="BA580" s="2289"/>
      <c r="BB580" s="2289"/>
      <c r="BC580" s="2289"/>
      <c r="BD580" s="2289"/>
      <c r="BE580" s="2289"/>
      <c r="BF580" s="2289"/>
      <c r="BG580" s="2289"/>
      <c r="BH580" s="2289"/>
      <c r="BI580" s="2289"/>
      <c r="BJ580" s="2289"/>
      <c r="BK580" s="2289"/>
      <c r="BL580" s="2289"/>
      <c r="BM580" s="2289"/>
      <c r="BN580" s="2289"/>
      <c r="BO580" s="2289"/>
      <c r="BP580" s="2289"/>
      <c r="BQ580" s="2289"/>
      <c r="BR580" s="2289"/>
    </row>
    <row r="581" spans="1:70" ht="15.75" customHeight="1">
      <c r="A581" s="2289"/>
      <c r="B581" s="2289"/>
      <c r="C581" s="2289"/>
      <c r="D581" s="2289"/>
      <c r="E581" s="2289"/>
      <c r="F581" s="2289"/>
      <c r="G581" s="2290"/>
      <c r="H581" s="2289"/>
      <c r="I581" s="2289"/>
      <c r="J581" s="2290"/>
      <c r="K581" s="2289"/>
      <c r="L581" s="2289"/>
      <c r="M581" s="2290"/>
      <c r="N581" s="2290"/>
      <c r="O581" s="2290"/>
      <c r="P581" s="2290"/>
      <c r="Q581" s="2289"/>
      <c r="R581" s="2289"/>
      <c r="S581" s="2289"/>
      <c r="T581" s="2291"/>
      <c r="U581" s="2289"/>
      <c r="V581" s="2289"/>
      <c r="W581" s="2289"/>
      <c r="X581" s="2292"/>
      <c r="Y581" s="2292"/>
      <c r="Z581" s="2289"/>
      <c r="AA581" s="2289"/>
      <c r="AB581" s="2289"/>
      <c r="AC581" s="2289"/>
      <c r="AD581" s="2293"/>
      <c r="AE581" s="2293"/>
      <c r="AF581" s="2293"/>
      <c r="AG581" s="2293"/>
      <c r="AH581" s="2289"/>
      <c r="AI581" s="2289"/>
      <c r="AJ581" s="2294"/>
      <c r="AK581" s="2294"/>
      <c r="AL581" s="2289"/>
      <c r="AM581" s="2289"/>
      <c r="AN581" s="2289"/>
      <c r="AO581" s="2289"/>
      <c r="AP581" s="2289"/>
      <c r="AQ581" s="2289"/>
      <c r="AR581" s="2294"/>
      <c r="AS581" s="2294"/>
      <c r="AT581" s="2295"/>
      <c r="AU581" s="2295"/>
      <c r="AV581" s="2295"/>
      <c r="AW581" s="2295"/>
      <c r="AX581" s="2296"/>
      <c r="AY581" s="2289"/>
      <c r="AZ581" s="2289"/>
      <c r="BA581" s="2289"/>
      <c r="BB581" s="2289"/>
      <c r="BC581" s="2289"/>
      <c r="BD581" s="2289"/>
      <c r="BE581" s="2289"/>
      <c r="BF581" s="2289"/>
      <c r="BG581" s="2289"/>
      <c r="BH581" s="2289"/>
      <c r="BI581" s="2289"/>
      <c r="BJ581" s="2289"/>
      <c r="BK581" s="2289"/>
      <c r="BL581" s="2289"/>
      <c r="BM581" s="2289"/>
      <c r="BN581" s="2289"/>
      <c r="BO581" s="2289"/>
      <c r="BP581" s="2289"/>
      <c r="BQ581" s="2289"/>
      <c r="BR581" s="2289"/>
    </row>
    <row r="582" spans="1:70" ht="15.75" customHeight="1">
      <c r="A582" s="2289"/>
      <c r="B582" s="2289"/>
      <c r="C582" s="2289"/>
      <c r="D582" s="2289"/>
      <c r="E582" s="2289"/>
      <c r="F582" s="2289"/>
      <c r="G582" s="2290"/>
      <c r="H582" s="2289"/>
      <c r="I582" s="2289"/>
      <c r="J582" s="2290"/>
      <c r="K582" s="2289"/>
      <c r="L582" s="2289"/>
      <c r="M582" s="2290"/>
      <c r="N582" s="2290"/>
      <c r="O582" s="2290"/>
      <c r="P582" s="2290"/>
      <c r="Q582" s="2289"/>
      <c r="R582" s="2289"/>
      <c r="S582" s="2289"/>
      <c r="T582" s="2291"/>
      <c r="U582" s="2289"/>
      <c r="V582" s="2289"/>
      <c r="W582" s="2289"/>
      <c r="X582" s="2292"/>
      <c r="Y582" s="2292"/>
      <c r="Z582" s="2289"/>
      <c r="AA582" s="2289"/>
      <c r="AB582" s="2289"/>
      <c r="AC582" s="2289"/>
      <c r="AD582" s="2293"/>
      <c r="AE582" s="2293"/>
      <c r="AF582" s="2293"/>
      <c r="AG582" s="2293"/>
      <c r="AH582" s="2289"/>
      <c r="AI582" s="2289"/>
      <c r="AJ582" s="2294"/>
      <c r="AK582" s="2294"/>
      <c r="AL582" s="2289"/>
      <c r="AM582" s="2289"/>
      <c r="AN582" s="2289"/>
      <c r="AO582" s="2289"/>
      <c r="AP582" s="2289"/>
      <c r="AQ582" s="2289"/>
      <c r="AR582" s="2294"/>
      <c r="AS582" s="2294"/>
      <c r="AT582" s="2295"/>
      <c r="AU582" s="2295"/>
      <c r="AV582" s="2295"/>
      <c r="AW582" s="2295"/>
      <c r="AX582" s="2296"/>
      <c r="AY582" s="2289"/>
      <c r="AZ582" s="2289"/>
      <c r="BA582" s="2289"/>
      <c r="BB582" s="2289"/>
      <c r="BC582" s="2289"/>
      <c r="BD582" s="2289"/>
      <c r="BE582" s="2289"/>
      <c r="BF582" s="2289"/>
      <c r="BG582" s="2289"/>
      <c r="BH582" s="2289"/>
      <c r="BI582" s="2289"/>
      <c r="BJ582" s="2289"/>
      <c r="BK582" s="2289"/>
      <c r="BL582" s="2289"/>
      <c r="BM582" s="2289"/>
      <c r="BN582" s="2289"/>
      <c r="BO582" s="2289"/>
      <c r="BP582" s="2289"/>
      <c r="BQ582" s="2289"/>
      <c r="BR582" s="2289"/>
    </row>
    <row r="583" spans="1:70" ht="15.75" customHeight="1">
      <c r="A583" s="2289"/>
      <c r="B583" s="2289"/>
      <c r="C583" s="2289"/>
      <c r="D583" s="2289"/>
      <c r="E583" s="2289"/>
      <c r="F583" s="2289"/>
      <c r="G583" s="2290"/>
      <c r="H583" s="2289"/>
      <c r="I583" s="2289"/>
      <c r="J583" s="2290"/>
      <c r="K583" s="2289"/>
      <c r="L583" s="2289"/>
      <c r="M583" s="2290"/>
      <c r="N583" s="2290"/>
      <c r="O583" s="2290"/>
      <c r="P583" s="2290"/>
      <c r="Q583" s="2289"/>
      <c r="R583" s="2289"/>
      <c r="S583" s="2289"/>
      <c r="T583" s="2291"/>
      <c r="U583" s="2289"/>
      <c r="V583" s="2289"/>
      <c r="W583" s="2289"/>
      <c r="X583" s="2292"/>
      <c r="Y583" s="2292"/>
      <c r="Z583" s="2289"/>
      <c r="AA583" s="2289"/>
      <c r="AB583" s="2289"/>
      <c r="AC583" s="2289"/>
      <c r="AD583" s="2293"/>
      <c r="AE583" s="2293"/>
      <c r="AF583" s="2293"/>
      <c r="AG583" s="2293"/>
      <c r="AH583" s="2289"/>
      <c r="AI583" s="2289"/>
      <c r="AJ583" s="2294"/>
      <c r="AK583" s="2294"/>
      <c r="AL583" s="2289"/>
      <c r="AM583" s="2289"/>
      <c r="AN583" s="2289"/>
      <c r="AO583" s="2289"/>
      <c r="AP583" s="2289"/>
      <c r="AQ583" s="2289"/>
      <c r="AR583" s="2294"/>
      <c r="AS583" s="2294"/>
      <c r="AT583" s="2295"/>
      <c r="AU583" s="2295"/>
      <c r="AV583" s="2295"/>
      <c r="AW583" s="2295"/>
      <c r="AX583" s="2296"/>
      <c r="AY583" s="2289"/>
      <c r="AZ583" s="2289"/>
      <c r="BA583" s="2289"/>
      <c r="BB583" s="2289"/>
      <c r="BC583" s="2289"/>
      <c r="BD583" s="2289"/>
      <c r="BE583" s="2289"/>
      <c r="BF583" s="2289"/>
      <c r="BG583" s="2289"/>
      <c r="BH583" s="2289"/>
      <c r="BI583" s="2289"/>
      <c r="BJ583" s="2289"/>
      <c r="BK583" s="2289"/>
      <c r="BL583" s="2289"/>
      <c r="BM583" s="2289"/>
      <c r="BN583" s="2289"/>
      <c r="BO583" s="2289"/>
      <c r="BP583" s="2289"/>
      <c r="BQ583" s="2289"/>
      <c r="BR583" s="2289"/>
    </row>
    <row r="584" spans="1:70" ht="15.75" customHeight="1">
      <c r="A584" s="2289"/>
      <c r="B584" s="2289"/>
      <c r="C584" s="2289"/>
      <c r="D584" s="2289"/>
      <c r="E584" s="2289"/>
      <c r="F584" s="2289"/>
      <c r="G584" s="2290"/>
      <c r="H584" s="2289"/>
      <c r="I584" s="2289"/>
      <c r="J584" s="2290"/>
      <c r="K584" s="2289"/>
      <c r="L584" s="2289"/>
      <c r="M584" s="2290"/>
      <c r="N584" s="2290"/>
      <c r="O584" s="2290"/>
      <c r="P584" s="2290"/>
      <c r="Q584" s="2289"/>
      <c r="R584" s="2289"/>
      <c r="S584" s="2289"/>
      <c r="T584" s="2291"/>
      <c r="U584" s="2289"/>
      <c r="V584" s="2289"/>
      <c r="W584" s="2289"/>
      <c r="X584" s="2292"/>
      <c r="Y584" s="2292"/>
      <c r="Z584" s="2289"/>
      <c r="AA584" s="2289"/>
      <c r="AB584" s="2289"/>
      <c r="AC584" s="2289"/>
      <c r="AD584" s="2293"/>
      <c r="AE584" s="2293"/>
      <c r="AF584" s="2293"/>
      <c r="AG584" s="2293"/>
      <c r="AH584" s="2289"/>
      <c r="AI584" s="2289"/>
      <c r="AJ584" s="2294"/>
      <c r="AK584" s="2294"/>
      <c r="AL584" s="2289"/>
      <c r="AM584" s="2289"/>
      <c r="AN584" s="2289"/>
      <c r="AO584" s="2289"/>
      <c r="AP584" s="2289"/>
      <c r="AQ584" s="2289"/>
      <c r="AR584" s="2294"/>
      <c r="AS584" s="2294"/>
      <c r="AT584" s="2295"/>
      <c r="AU584" s="2295"/>
      <c r="AV584" s="2295"/>
      <c r="AW584" s="2295"/>
      <c r="AX584" s="2296"/>
      <c r="AY584" s="2289"/>
      <c r="AZ584" s="2289"/>
      <c r="BA584" s="2289"/>
      <c r="BB584" s="2289"/>
      <c r="BC584" s="2289"/>
      <c r="BD584" s="2289"/>
      <c r="BE584" s="2289"/>
      <c r="BF584" s="2289"/>
      <c r="BG584" s="2289"/>
      <c r="BH584" s="2289"/>
      <c r="BI584" s="2289"/>
      <c r="BJ584" s="2289"/>
      <c r="BK584" s="2289"/>
      <c r="BL584" s="2289"/>
      <c r="BM584" s="2289"/>
      <c r="BN584" s="2289"/>
      <c r="BO584" s="2289"/>
      <c r="BP584" s="2289"/>
      <c r="BQ584" s="2289"/>
      <c r="BR584" s="2289"/>
    </row>
    <row r="585" spans="1:70" ht="15.75" customHeight="1">
      <c r="A585" s="2289"/>
      <c r="B585" s="2289"/>
      <c r="C585" s="2289"/>
      <c r="D585" s="2289"/>
      <c r="E585" s="2289"/>
      <c r="F585" s="2289"/>
      <c r="G585" s="2290"/>
      <c r="H585" s="2289"/>
      <c r="I585" s="2289"/>
      <c r="J585" s="2290"/>
      <c r="K585" s="2289"/>
      <c r="L585" s="2289"/>
      <c r="M585" s="2290"/>
      <c r="N585" s="2290"/>
      <c r="O585" s="2290"/>
      <c r="P585" s="2290"/>
      <c r="Q585" s="2289"/>
      <c r="R585" s="2289"/>
      <c r="S585" s="2289"/>
      <c r="T585" s="2291"/>
      <c r="U585" s="2289"/>
      <c r="V585" s="2289"/>
      <c r="W585" s="2289"/>
      <c r="X585" s="2292"/>
      <c r="Y585" s="2292"/>
      <c r="Z585" s="2289"/>
      <c r="AA585" s="2289"/>
      <c r="AB585" s="2289"/>
      <c r="AC585" s="2289"/>
      <c r="AD585" s="2293"/>
      <c r="AE585" s="2293"/>
      <c r="AF585" s="2293"/>
      <c r="AG585" s="2293"/>
      <c r="AH585" s="2289"/>
      <c r="AI585" s="2289"/>
      <c r="AJ585" s="2294"/>
      <c r="AK585" s="2294"/>
      <c r="AL585" s="2289"/>
      <c r="AM585" s="2289"/>
      <c r="AN585" s="2289"/>
      <c r="AO585" s="2289"/>
      <c r="AP585" s="2289"/>
      <c r="AQ585" s="2289"/>
      <c r="AR585" s="2294"/>
      <c r="AS585" s="2294"/>
      <c r="AT585" s="2295"/>
      <c r="AU585" s="2295"/>
      <c r="AV585" s="2295"/>
      <c r="AW585" s="2295"/>
      <c r="AX585" s="2296"/>
      <c r="AY585" s="2289"/>
      <c r="AZ585" s="2289"/>
      <c r="BA585" s="2289"/>
      <c r="BB585" s="2289"/>
      <c r="BC585" s="2289"/>
      <c r="BD585" s="2289"/>
      <c r="BE585" s="2289"/>
      <c r="BF585" s="2289"/>
      <c r="BG585" s="2289"/>
      <c r="BH585" s="2289"/>
      <c r="BI585" s="2289"/>
      <c r="BJ585" s="2289"/>
      <c r="BK585" s="2289"/>
      <c r="BL585" s="2289"/>
      <c r="BM585" s="2289"/>
      <c r="BN585" s="2289"/>
      <c r="BO585" s="2289"/>
      <c r="BP585" s="2289"/>
      <c r="BQ585" s="2289"/>
      <c r="BR585" s="2289"/>
    </row>
    <row r="586" spans="1:70" ht="15.75" customHeight="1">
      <c r="A586" s="2289"/>
      <c r="B586" s="2289"/>
      <c r="C586" s="2289"/>
      <c r="D586" s="2289"/>
      <c r="E586" s="2289"/>
      <c r="F586" s="2289"/>
      <c r="G586" s="2290"/>
      <c r="H586" s="2289"/>
      <c r="I586" s="2289"/>
      <c r="J586" s="2290"/>
      <c r="K586" s="2289"/>
      <c r="L586" s="2289"/>
      <c r="M586" s="2290"/>
      <c r="N586" s="2290"/>
      <c r="O586" s="2290"/>
      <c r="P586" s="2290"/>
      <c r="Q586" s="2289"/>
      <c r="R586" s="2289"/>
      <c r="S586" s="2289"/>
      <c r="T586" s="2291"/>
      <c r="U586" s="2289"/>
      <c r="V586" s="2289"/>
      <c r="W586" s="2289"/>
      <c r="X586" s="2292"/>
      <c r="Y586" s="2292"/>
      <c r="Z586" s="2289"/>
      <c r="AA586" s="2289"/>
      <c r="AB586" s="2289"/>
      <c r="AC586" s="2289"/>
      <c r="AD586" s="2293"/>
      <c r="AE586" s="2293"/>
      <c r="AF586" s="2293"/>
      <c r="AG586" s="2293"/>
      <c r="AH586" s="2289"/>
      <c r="AI586" s="2289"/>
      <c r="AJ586" s="2294"/>
      <c r="AK586" s="2294"/>
      <c r="AL586" s="2289"/>
      <c r="AM586" s="2289"/>
      <c r="AN586" s="2289"/>
      <c r="AO586" s="2289"/>
      <c r="AP586" s="2289"/>
      <c r="AQ586" s="2289"/>
      <c r="AR586" s="2294"/>
      <c r="AS586" s="2294"/>
      <c r="AT586" s="2295"/>
      <c r="AU586" s="2295"/>
      <c r="AV586" s="2295"/>
      <c r="AW586" s="2295"/>
      <c r="AX586" s="2296"/>
      <c r="AY586" s="2289"/>
      <c r="AZ586" s="2289"/>
      <c r="BA586" s="2289"/>
      <c r="BB586" s="2289"/>
      <c r="BC586" s="2289"/>
      <c r="BD586" s="2289"/>
      <c r="BE586" s="2289"/>
      <c r="BF586" s="2289"/>
      <c r="BG586" s="2289"/>
      <c r="BH586" s="2289"/>
      <c r="BI586" s="2289"/>
      <c r="BJ586" s="2289"/>
      <c r="BK586" s="2289"/>
      <c r="BL586" s="2289"/>
      <c r="BM586" s="2289"/>
      <c r="BN586" s="2289"/>
      <c r="BO586" s="2289"/>
      <c r="BP586" s="2289"/>
      <c r="BQ586" s="2289"/>
      <c r="BR586" s="2289"/>
    </row>
    <row r="587" spans="1:70" ht="15.75" customHeight="1">
      <c r="A587" s="2289"/>
      <c r="B587" s="2289"/>
      <c r="C587" s="2289"/>
      <c r="D587" s="2289"/>
      <c r="E587" s="2289"/>
      <c r="F587" s="2289"/>
      <c r="G587" s="2290"/>
      <c r="H587" s="2289"/>
      <c r="I587" s="2289"/>
      <c r="J587" s="2290"/>
      <c r="K587" s="2289"/>
      <c r="L587" s="2289"/>
      <c r="M587" s="2290"/>
      <c r="N587" s="2290"/>
      <c r="O587" s="2290"/>
      <c r="P587" s="2290"/>
      <c r="Q587" s="2289"/>
      <c r="R587" s="2289"/>
      <c r="S587" s="2289"/>
      <c r="T587" s="2291"/>
      <c r="U587" s="2289"/>
      <c r="V587" s="2289"/>
      <c r="W587" s="2289"/>
      <c r="X587" s="2292"/>
      <c r="Y587" s="2292"/>
      <c r="Z587" s="2289"/>
      <c r="AA587" s="2289"/>
      <c r="AB587" s="2289"/>
      <c r="AC587" s="2289"/>
      <c r="AD587" s="2293"/>
      <c r="AE587" s="2293"/>
      <c r="AF587" s="2293"/>
      <c r="AG587" s="2293"/>
      <c r="AH587" s="2289"/>
      <c r="AI587" s="2289"/>
      <c r="AJ587" s="2294"/>
      <c r="AK587" s="2294"/>
      <c r="AL587" s="2289"/>
      <c r="AM587" s="2289"/>
      <c r="AN587" s="2289"/>
      <c r="AO587" s="2289"/>
      <c r="AP587" s="2289"/>
      <c r="AQ587" s="2289"/>
      <c r="AR587" s="2294"/>
      <c r="AS587" s="2294"/>
      <c r="AT587" s="2295"/>
      <c r="AU587" s="2295"/>
      <c r="AV587" s="2295"/>
      <c r="AW587" s="2295"/>
      <c r="AX587" s="2296"/>
      <c r="AY587" s="2289"/>
      <c r="AZ587" s="2289"/>
      <c r="BA587" s="2289"/>
      <c r="BB587" s="2289"/>
      <c r="BC587" s="2289"/>
      <c r="BD587" s="2289"/>
      <c r="BE587" s="2289"/>
      <c r="BF587" s="2289"/>
      <c r="BG587" s="2289"/>
      <c r="BH587" s="2289"/>
      <c r="BI587" s="2289"/>
      <c r="BJ587" s="2289"/>
      <c r="BK587" s="2289"/>
      <c r="BL587" s="2289"/>
      <c r="BM587" s="2289"/>
      <c r="BN587" s="2289"/>
      <c r="BO587" s="2289"/>
      <c r="BP587" s="2289"/>
      <c r="BQ587" s="2289"/>
      <c r="BR587" s="2289"/>
    </row>
    <row r="588" spans="1:70" ht="15.75" customHeight="1">
      <c r="A588" s="2289"/>
      <c r="B588" s="2289"/>
      <c r="C588" s="2289"/>
      <c r="D588" s="2289"/>
      <c r="E588" s="2289"/>
      <c r="F588" s="2289"/>
      <c r="G588" s="2290"/>
      <c r="H588" s="2289"/>
      <c r="I588" s="2289"/>
      <c r="J588" s="2290"/>
      <c r="K588" s="2289"/>
      <c r="L588" s="2289"/>
      <c r="M588" s="2290"/>
      <c r="N588" s="2290"/>
      <c r="O588" s="2290"/>
      <c r="P588" s="2290"/>
      <c r="Q588" s="2289"/>
      <c r="R588" s="2289"/>
      <c r="S588" s="2289"/>
      <c r="T588" s="2291"/>
      <c r="U588" s="2289"/>
      <c r="V588" s="2289"/>
      <c r="W588" s="2289"/>
      <c r="X588" s="2292"/>
      <c r="Y588" s="2292"/>
      <c r="Z588" s="2289"/>
      <c r="AA588" s="2289"/>
      <c r="AB588" s="2289"/>
      <c r="AC588" s="2289"/>
      <c r="AD588" s="2293"/>
      <c r="AE588" s="2293"/>
      <c r="AF588" s="2293"/>
      <c r="AG588" s="2293"/>
      <c r="AH588" s="2289"/>
      <c r="AI588" s="2289"/>
      <c r="AJ588" s="2294"/>
      <c r="AK588" s="2294"/>
      <c r="AL588" s="2289"/>
      <c r="AM588" s="2289"/>
      <c r="AN588" s="2289"/>
      <c r="AO588" s="2289"/>
      <c r="AP588" s="2289"/>
      <c r="AQ588" s="2289"/>
      <c r="AR588" s="2294"/>
      <c r="AS588" s="2294"/>
      <c r="AT588" s="2295"/>
      <c r="AU588" s="2295"/>
      <c r="AV588" s="2295"/>
      <c r="AW588" s="2295"/>
      <c r="AX588" s="2296"/>
      <c r="AY588" s="2289"/>
      <c r="AZ588" s="2289"/>
      <c r="BA588" s="2289"/>
      <c r="BB588" s="2289"/>
      <c r="BC588" s="2289"/>
      <c r="BD588" s="2289"/>
      <c r="BE588" s="2289"/>
      <c r="BF588" s="2289"/>
      <c r="BG588" s="2289"/>
      <c r="BH588" s="2289"/>
      <c r="BI588" s="2289"/>
      <c r="BJ588" s="2289"/>
      <c r="BK588" s="2289"/>
      <c r="BL588" s="2289"/>
      <c r="BM588" s="2289"/>
      <c r="BN588" s="2289"/>
      <c r="BO588" s="2289"/>
      <c r="BP588" s="2289"/>
      <c r="BQ588" s="2289"/>
      <c r="BR588" s="2289"/>
    </row>
    <row r="589" spans="1:70" ht="15.75" customHeight="1">
      <c r="A589" s="2289"/>
      <c r="B589" s="2289"/>
      <c r="C589" s="2289"/>
      <c r="D589" s="2289"/>
      <c r="E589" s="2289"/>
      <c r="F589" s="2289"/>
      <c r="G589" s="2290"/>
      <c r="H589" s="2289"/>
      <c r="I589" s="2289"/>
      <c r="J589" s="2290"/>
      <c r="K589" s="2289"/>
      <c r="L589" s="2289"/>
      <c r="M589" s="2290"/>
      <c r="N589" s="2290"/>
      <c r="O589" s="2290"/>
      <c r="P589" s="2290"/>
      <c r="Q589" s="2289"/>
      <c r="R589" s="2289"/>
      <c r="S589" s="2289"/>
      <c r="T589" s="2291"/>
      <c r="U589" s="2289"/>
      <c r="V589" s="2289"/>
      <c r="W589" s="2289"/>
      <c r="X589" s="2292"/>
      <c r="Y589" s="2292"/>
      <c r="Z589" s="2289"/>
      <c r="AA589" s="2289"/>
      <c r="AB589" s="2289"/>
      <c r="AC589" s="2289"/>
      <c r="AD589" s="2293"/>
      <c r="AE589" s="2293"/>
      <c r="AF589" s="2293"/>
      <c r="AG589" s="2293"/>
      <c r="AH589" s="2289"/>
      <c r="AI589" s="2289"/>
      <c r="AJ589" s="2294"/>
      <c r="AK589" s="2294"/>
      <c r="AL589" s="2289"/>
      <c r="AM589" s="2289"/>
      <c r="AN589" s="2289"/>
      <c r="AO589" s="2289"/>
      <c r="AP589" s="2289"/>
      <c r="AQ589" s="2289"/>
      <c r="AR589" s="2294"/>
      <c r="AS589" s="2294"/>
      <c r="AT589" s="2295"/>
      <c r="AU589" s="2295"/>
      <c r="AV589" s="2295"/>
      <c r="AW589" s="2295"/>
      <c r="AX589" s="2296"/>
      <c r="AY589" s="2289"/>
      <c r="AZ589" s="2289"/>
      <c r="BA589" s="2289"/>
      <c r="BB589" s="2289"/>
      <c r="BC589" s="2289"/>
      <c r="BD589" s="2289"/>
      <c r="BE589" s="2289"/>
      <c r="BF589" s="2289"/>
      <c r="BG589" s="2289"/>
      <c r="BH589" s="2289"/>
      <c r="BI589" s="2289"/>
      <c r="BJ589" s="2289"/>
      <c r="BK589" s="2289"/>
      <c r="BL589" s="2289"/>
      <c r="BM589" s="2289"/>
      <c r="BN589" s="2289"/>
      <c r="BO589" s="2289"/>
      <c r="BP589" s="2289"/>
      <c r="BQ589" s="2289"/>
      <c r="BR589" s="2289"/>
    </row>
    <row r="590" spans="1:70" ht="15.75" customHeight="1">
      <c r="A590" s="2289"/>
      <c r="B590" s="2289"/>
      <c r="C590" s="2289"/>
      <c r="D590" s="2289"/>
      <c r="E590" s="2289"/>
      <c r="F590" s="2289"/>
      <c r="G590" s="2290"/>
      <c r="H590" s="2289"/>
      <c r="I590" s="2289"/>
      <c r="J590" s="2290"/>
      <c r="K590" s="2289"/>
      <c r="L590" s="2289"/>
      <c r="M590" s="2290"/>
      <c r="N590" s="2290"/>
      <c r="O590" s="2290"/>
      <c r="P590" s="2290"/>
      <c r="Q590" s="2289"/>
      <c r="R590" s="2289"/>
      <c r="S590" s="2289"/>
      <c r="T590" s="2291"/>
      <c r="U590" s="2289"/>
      <c r="V590" s="2289"/>
      <c r="W590" s="2289"/>
      <c r="X590" s="2292"/>
      <c r="Y590" s="2292"/>
      <c r="Z590" s="2289"/>
      <c r="AA590" s="2289"/>
      <c r="AB590" s="2289"/>
      <c r="AC590" s="2289"/>
      <c r="AD590" s="2293"/>
      <c r="AE590" s="2293"/>
      <c r="AF590" s="2293"/>
      <c r="AG590" s="2293"/>
      <c r="AH590" s="2289"/>
      <c r="AI590" s="2289"/>
      <c r="AJ590" s="2294"/>
      <c r="AK590" s="2294"/>
      <c r="AL590" s="2289"/>
      <c r="AM590" s="2289"/>
      <c r="AN590" s="2289"/>
      <c r="AO590" s="2289"/>
      <c r="AP590" s="2289"/>
      <c r="AQ590" s="2289"/>
      <c r="AR590" s="2294"/>
      <c r="AS590" s="2294"/>
      <c r="AT590" s="2295"/>
      <c r="AU590" s="2295"/>
      <c r="AV590" s="2295"/>
      <c r="AW590" s="2295"/>
      <c r="AX590" s="2296"/>
      <c r="AY590" s="2289"/>
      <c r="AZ590" s="2289"/>
      <c r="BA590" s="2289"/>
      <c r="BB590" s="2289"/>
      <c r="BC590" s="2289"/>
      <c r="BD590" s="2289"/>
      <c r="BE590" s="2289"/>
      <c r="BF590" s="2289"/>
      <c r="BG590" s="2289"/>
      <c r="BH590" s="2289"/>
      <c r="BI590" s="2289"/>
      <c r="BJ590" s="2289"/>
      <c r="BK590" s="2289"/>
      <c r="BL590" s="2289"/>
      <c r="BM590" s="2289"/>
      <c r="BN590" s="2289"/>
      <c r="BO590" s="2289"/>
      <c r="BP590" s="2289"/>
      <c r="BQ590" s="2289"/>
      <c r="BR590" s="2289"/>
    </row>
    <row r="591" spans="1:70" ht="15.75" customHeight="1">
      <c r="A591" s="2289"/>
      <c r="B591" s="2289"/>
      <c r="C591" s="2289"/>
      <c r="D591" s="2289"/>
      <c r="E591" s="2289"/>
      <c r="F591" s="2289"/>
      <c r="G591" s="2290"/>
      <c r="H591" s="2289"/>
      <c r="I591" s="2289"/>
      <c r="J591" s="2290"/>
      <c r="K591" s="2289"/>
      <c r="L591" s="2289"/>
      <c r="M591" s="2290"/>
      <c r="N591" s="2290"/>
      <c r="O591" s="2290"/>
      <c r="P591" s="2290"/>
      <c r="Q591" s="2289"/>
      <c r="R591" s="2289"/>
      <c r="S591" s="2289"/>
      <c r="T591" s="2291"/>
      <c r="U591" s="2289"/>
      <c r="V591" s="2289"/>
      <c r="W591" s="2289"/>
      <c r="X591" s="2292"/>
      <c r="Y591" s="2292"/>
      <c r="Z591" s="2289"/>
      <c r="AA591" s="2289"/>
      <c r="AB591" s="2289"/>
      <c r="AC591" s="2289"/>
      <c r="AD591" s="2293"/>
      <c r="AE591" s="2293"/>
      <c r="AF591" s="2293"/>
      <c r="AG591" s="2293"/>
      <c r="AH591" s="2289"/>
      <c r="AI591" s="2289"/>
      <c r="AJ591" s="2294"/>
      <c r="AK591" s="2294"/>
      <c r="AL591" s="2289"/>
      <c r="AM591" s="2289"/>
      <c r="AN591" s="2289"/>
      <c r="AO591" s="2289"/>
      <c r="AP591" s="2289"/>
      <c r="AQ591" s="2289"/>
      <c r="AR591" s="2294"/>
      <c r="AS591" s="2294"/>
      <c r="AT591" s="2295"/>
      <c r="AU591" s="2295"/>
      <c r="AV591" s="2295"/>
      <c r="AW591" s="2295"/>
      <c r="AX591" s="2296"/>
      <c r="AY591" s="2289"/>
      <c r="AZ591" s="2289"/>
      <c r="BA591" s="2289"/>
      <c r="BB591" s="2289"/>
      <c r="BC591" s="2289"/>
      <c r="BD591" s="2289"/>
      <c r="BE591" s="2289"/>
      <c r="BF591" s="2289"/>
      <c r="BG591" s="2289"/>
      <c r="BH591" s="2289"/>
      <c r="BI591" s="2289"/>
      <c r="BJ591" s="2289"/>
      <c r="BK591" s="2289"/>
      <c r="BL591" s="2289"/>
      <c r="BM591" s="2289"/>
      <c r="BN591" s="2289"/>
      <c r="BO591" s="2289"/>
      <c r="BP591" s="2289"/>
      <c r="BQ591" s="2289"/>
      <c r="BR591" s="2289"/>
    </row>
    <row r="592" spans="1:70" ht="15.75" customHeight="1">
      <c r="A592" s="2289"/>
      <c r="B592" s="2289"/>
      <c r="C592" s="2289"/>
      <c r="D592" s="2289"/>
      <c r="E592" s="2289"/>
      <c r="F592" s="2289"/>
      <c r="G592" s="2290"/>
      <c r="H592" s="2289"/>
      <c r="I592" s="2289"/>
      <c r="J592" s="2290"/>
      <c r="K592" s="2289"/>
      <c r="L592" s="2289"/>
      <c r="M592" s="2290"/>
      <c r="N592" s="2290"/>
      <c r="O592" s="2290"/>
      <c r="P592" s="2290"/>
      <c r="Q592" s="2289"/>
      <c r="R592" s="2289"/>
      <c r="S592" s="2289"/>
      <c r="T592" s="2291"/>
      <c r="U592" s="2289"/>
      <c r="V592" s="2289"/>
      <c r="W592" s="2289"/>
      <c r="X592" s="2292"/>
      <c r="Y592" s="2292"/>
      <c r="Z592" s="2289"/>
      <c r="AA592" s="2289"/>
      <c r="AB592" s="2289"/>
      <c r="AC592" s="2289"/>
      <c r="AD592" s="2293"/>
      <c r="AE592" s="2293"/>
      <c r="AF592" s="2293"/>
      <c r="AG592" s="2293"/>
      <c r="AH592" s="2289"/>
      <c r="AI592" s="2289"/>
      <c r="AJ592" s="2294"/>
      <c r="AK592" s="2294"/>
      <c r="AL592" s="2289"/>
      <c r="AM592" s="2289"/>
      <c r="AN592" s="2289"/>
      <c r="AO592" s="2289"/>
      <c r="AP592" s="2289"/>
      <c r="AQ592" s="2289"/>
      <c r="AR592" s="2294"/>
      <c r="AS592" s="2294"/>
      <c r="AT592" s="2295"/>
      <c r="AU592" s="2295"/>
      <c r="AV592" s="2295"/>
      <c r="AW592" s="2295"/>
      <c r="AX592" s="2296"/>
      <c r="AY592" s="2289"/>
      <c r="AZ592" s="2289"/>
      <c r="BA592" s="2289"/>
      <c r="BB592" s="2289"/>
      <c r="BC592" s="2289"/>
      <c r="BD592" s="2289"/>
      <c r="BE592" s="2289"/>
      <c r="BF592" s="2289"/>
      <c r="BG592" s="2289"/>
      <c r="BH592" s="2289"/>
      <c r="BI592" s="2289"/>
      <c r="BJ592" s="2289"/>
      <c r="BK592" s="2289"/>
      <c r="BL592" s="2289"/>
      <c r="BM592" s="2289"/>
      <c r="BN592" s="2289"/>
      <c r="BO592" s="2289"/>
      <c r="BP592" s="2289"/>
      <c r="BQ592" s="2289"/>
      <c r="BR592" s="2289"/>
    </row>
    <row r="593" spans="1:70" ht="15.75" customHeight="1">
      <c r="A593" s="2289"/>
      <c r="B593" s="2289"/>
      <c r="C593" s="2289"/>
      <c r="D593" s="2289"/>
      <c r="E593" s="2289"/>
      <c r="F593" s="2289"/>
      <c r="G593" s="2290"/>
      <c r="H593" s="2289"/>
      <c r="I593" s="2289"/>
      <c r="J593" s="2290"/>
      <c r="K593" s="2289"/>
      <c r="L593" s="2289"/>
      <c r="M593" s="2290"/>
      <c r="N593" s="2290"/>
      <c r="O593" s="2290"/>
      <c r="P593" s="2290"/>
      <c r="Q593" s="2289"/>
      <c r="R593" s="2289"/>
      <c r="S593" s="2289"/>
      <c r="T593" s="2291"/>
      <c r="U593" s="2289"/>
      <c r="V593" s="2289"/>
      <c r="W593" s="2289"/>
      <c r="X593" s="2292"/>
      <c r="Y593" s="2292"/>
      <c r="Z593" s="2289"/>
      <c r="AA593" s="2289"/>
      <c r="AB593" s="2289"/>
      <c r="AC593" s="2289"/>
      <c r="AD593" s="2293"/>
      <c r="AE593" s="2293"/>
      <c r="AF593" s="2293"/>
      <c r="AG593" s="2293"/>
      <c r="AH593" s="2289"/>
      <c r="AI593" s="2289"/>
      <c r="AJ593" s="2294"/>
      <c r="AK593" s="2294"/>
      <c r="AL593" s="2289"/>
      <c r="AM593" s="2289"/>
      <c r="AN593" s="2289"/>
      <c r="AO593" s="2289"/>
      <c r="AP593" s="2289"/>
      <c r="AQ593" s="2289"/>
      <c r="AR593" s="2294"/>
      <c r="AS593" s="2294"/>
      <c r="AT593" s="2295"/>
      <c r="AU593" s="2295"/>
      <c r="AV593" s="2295"/>
      <c r="AW593" s="2295"/>
      <c r="AX593" s="2296"/>
      <c r="AY593" s="2289"/>
      <c r="AZ593" s="2289"/>
      <c r="BA593" s="2289"/>
      <c r="BB593" s="2289"/>
      <c r="BC593" s="2289"/>
      <c r="BD593" s="2289"/>
      <c r="BE593" s="2289"/>
      <c r="BF593" s="2289"/>
      <c r="BG593" s="2289"/>
      <c r="BH593" s="2289"/>
      <c r="BI593" s="2289"/>
      <c r="BJ593" s="2289"/>
      <c r="BK593" s="2289"/>
      <c r="BL593" s="2289"/>
      <c r="BM593" s="2289"/>
      <c r="BN593" s="2289"/>
      <c r="BO593" s="2289"/>
      <c r="BP593" s="2289"/>
      <c r="BQ593" s="2289"/>
      <c r="BR593" s="2289"/>
    </row>
    <row r="594" spans="1:70" ht="15.75" customHeight="1">
      <c r="A594" s="2289"/>
      <c r="B594" s="2289"/>
      <c r="C594" s="2289"/>
      <c r="D594" s="2289"/>
      <c r="E594" s="2289"/>
      <c r="F594" s="2289"/>
      <c r="G594" s="2290"/>
      <c r="H594" s="2289"/>
      <c r="I594" s="2289"/>
      <c r="J594" s="2290"/>
      <c r="K594" s="2289"/>
      <c r="L594" s="2289"/>
      <c r="M594" s="2290"/>
      <c r="N594" s="2290"/>
      <c r="O594" s="2290"/>
      <c r="P594" s="2290"/>
      <c r="Q594" s="2289"/>
      <c r="R594" s="2289"/>
      <c r="S594" s="2289"/>
      <c r="T594" s="2291"/>
      <c r="U594" s="2289"/>
      <c r="V594" s="2289"/>
      <c r="W594" s="2289"/>
      <c r="X594" s="2292"/>
      <c r="Y594" s="2292"/>
      <c r="Z594" s="2289"/>
      <c r="AA594" s="2289"/>
      <c r="AB594" s="2289"/>
      <c r="AC594" s="2289"/>
      <c r="AD594" s="2293"/>
      <c r="AE594" s="2293"/>
      <c r="AF594" s="2293"/>
      <c r="AG594" s="2293"/>
      <c r="AH594" s="2289"/>
      <c r="AI594" s="2289"/>
      <c r="AJ594" s="2294"/>
      <c r="AK594" s="2294"/>
      <c r="AL594" s="2289"/>
      <c r="AM594" s="2289"/>
      <c r="AN594" s="2289"/>
      <c r="AO594" s="2289"/>
      <c r="AP594" s="2289"/>
      <c r="AQ594" s="2289"/>
      <c r="AR594" s="2294"/>
      <c r="AS594" s="2294"/>
      <c r="AT594" s="2295"/>
      <c r="AU594" s="2295"/>
      <c r="AV594" s="2295"/>
      <c r="AW594" s="2295"/>
      <c r="AX594" s="2296"/>
      <c r="AY594" s="2289"/>
      <c r="AZ594" s="2289"/>
      <c r="BA594" s="2289"/>
      <c r="BB594" s="2289"/>
      <c r="BC594" s="2289"/>
      <c r="BD594" s="2289"/>
      <c r="BE594" s="2289"/>
      <c r="BF594" s="2289"/>
      <c r="BG594" s="2289"/>
      <c r="BH594" s="2289"/>
      <c r="BI594" s="2289"/>
      <c r="BJ594" s="2289"/>
      <c r="BK594" s="2289"/>
      <c r="BL594" s="2289"/>
      <c r="BM594" s="2289"/>
      <c r="BN594" s="2289"/>
      <c r="BO594" s="2289"/>
      <c r="BP594" s="2289"/>
      <c r="BQ594" s="2289"/>
      <c r="BR594" s="2289"/>
    </row>
    <row r="595" spans="1:70" ht="15.75" customHeight="1">
      <c r="A595" s="2289"/>
      <c r="B595" s="2289"/>
      <c r="C595" s="2289"/>
      <c r="D595" s="2289"/>
      <c r="E595" s="2289"/>
      <c r="F595" s="2289"/>
      <c r="G595" s="2290"/>
      <c r="H595" s="2289"/>
      <c r="I595" s="2289"/>
      <c r="J595" s="2290"/>
      <c r="K595" s="2289"/>
      <c r="L595" s="2289"/>
      <c r="M595" s="2290"/>
      <c r="N595" s="2290"/>
      <c r="O595" s="2290"/>
      <c r="P595" s="2290"/>
      <c r="Q595" s="2289"/>
      <c r="R595" s="2289"/>
      <c r="S595" s="2289"/>
      <c r="T595" s="2291"/>
      <c r="U595" s="2289"/>
      <c r="V595" s="2289"/>
      <c r="W595" s="2289"/>
      <c r="X595" s="2292"/>
      <c r="Y595" s="2292"/>
      <c r="Z595" s="2289"/>
      <c r="AA595" s="2289"/>
      <c r="AB595" s="2289"/>
      <c r="AC595" s="2289"/>
      <c r="AD595" s="2293"/>
      <c r="AE595" s="2293"/>
      <c r="AF595" s="2293"/>
      <c r="AG595" s="2293"/>
      <c r="AH595" s="2289"/>
      <c r="AI595" s="2289"/>
      <c r="AJ595" s="2294"/>
      <c r="AK595" s="2294"/>
      <c r="AL595" s="2289"/>
      <c r="AM595" s="2289"/>
      <c r="AN595" s="2289"/>
      <c r="AO595" s="2289"/>
      <c r="AP595" s="2289"/>
      <c r="AQ595" s="2289"/>
      <c r="AR595" s="2294"/>
      <c r="AS595" s="2294"/>
      <c r="AT595" s="2295"/>
      <c r="AU595" s="2295"/>
      <c r="AV595" s="2295"/>
      <c r="AW595" s="2295"/>
      <c r="AX595" s="2296"/>
      <c r="AY595" s="2289"/>
      <c r="AZ595" s="2289"/>
      <c r="BA595" s="2289"/>
      <c r="BB595" s="2289"/>
      <c r="BC595" s="2289"/>
      <c r="BD595" s="2289"/>
      <c r="BE595" s="2289"/>
      <c r="BF595" s="2289"/>
      <c r="BG595" s="2289"/>
      <c r="BH595" s="2289"/>
      <c r="BI595" s="2289"/>
      <c r="BJ595" s="2289"/>
      <c r="BK595" s="2289"/>
      <c r="BL595" s="2289"/>
      <c r="BM595" s="2289"/>
      <c r="BN595" s="2289"/>
      <c r="BO595" s="2289"/>
      <c r="BP595" s="2289"/>
      <c r="BQ595" s="2289"/>
      <c r="BR595" s="2289"/>
    </row>
    <row r="596" spans="1:70" ht="15.75" customHeight="1">
      <c r="A596" s="2289"/>
      <c r="B596" s="2289"/>
      <c r="C596" s="2289"/>
      <c r="D596" s="2289"/>
      <c r="E596" s="2289"/>
      <c r="F596" s="2289"/>
      <c r="G596" s="2290"/>
      <c r="H596" s="2289"/>
      <c r="I596" s="2289"/>
      <c r="J596" s="2290"/>
      <c r="K596" s="2289"/>
      <c r="L596" s="2289"/>
      <c r="M596" s="2290"/>
      <c r="N596" s="2290"/>
      <c r="O596" s="2290"/>
      <c r="P596" s="2290"/>
      <c r="Q596" s="2289"/>
      <c r="R596" s="2289"/>
      <c r="S596" s="2289"/>
      <c r="T596" s="2291"/>
      <c r="U596" s="2289"/>
      <c r="V596" s="2289"/>
      <c r="W596" s="2289"/>
      <c r="X596" s="2292"/>
      <c r="Y596" s="2292"/>
      <c r="Z596" s="2289"/>
      <c r="AA596" s="2289"/>
      <c r="AB596" s="2289"/>
      <c r="AC596" s="2289"/>
      <c r="AD596" s="2293"/>
      <c r="AE596" s="2293"/>
      <c r="AF596" s="2293"/>
      <c r="AG596" s="2293"/>
      <c r="AH596" s="2289"/>
      <c r="AI596" s="2289"/>
      <c r="AJ596" s="2294"/>
      <c r="AK596" s="2294"/>
      <c r="AL596" s="2289"/>
      <c r="AM596" s="2289"/>
      <c r="AN596" s="2289"/>
      <c r="AO596" s="2289"/>
      <c r="AP596" s="2289"/>
      <c r="AQ596" s="2289"/>
      <c r="AR596" s="2294"/>
      <c r="AS596" s="2294"/>
      <c r="AT596" s="2295"/>
      <c r="AU596" s="2295"/>
      <c r="AV596" s="2295"/>
      <c r="AW596" s="2295"/>
      <c r="AX596" s="2296"/>
      <c r="AY596" s="2289"/>
      <c r="AZ596" s="2289"/>
      <c r="BA596" s="2289"/>
      <c r="BB596" s="2289"/>
      <c r="BC596" s="2289"/>
      <c r="BD596" s="2289"/>
      <c r="BE596" s="2289"/>
      <c r="BF596" s="2289"/>
      <c r="BG596" s="2289"/>
      <c r="BH596" s="2289"/>
      <c r="BI596" s="2289"/>
      <c r="BJ596" s="2289"/>
      <c r="BK596" s="2289"/>
      <c r="BL596" s="2289"/>
      <c r="BM596" s="2289"/>
      <c r="BN596" s="2289"/>
      <c r="BO596" s="2289"/>
      <c r="BP596" s="2289"/>
      <c r="BQ596" s="2289"/>
      <c r="BR596" s="2289"/>
    </row>
    <row r="597" spans="1:70" ht="15.75" customHeight="1">
      <c r="A597" s="2289"/>
      <c r="B597" s="2289"/>
      <c r="C597" s="2289"/>
      <c r="D597" s="2289"/>
      <c r="E597" s="2289"/>
      <c r="F597" s="2289"/>
      <c r="G597" s="2290"/>
      <c r="H597" s="2289"/>
      <c r="I597" s="2289"/>
      <c r="J597" s="2290"/>
      <c r="K597" s="2289"/>
      <c r="L597" s="2289"/>
      <c r="M597" s="2290"/>
      <c r="N597" s="2290"/>
      <c r="O597" s="2290"/>
      <c r="P597" s="2290"/>
      <c r="Q597" s="2289"/>
      <c r="R597" s="2289"/>
      <c r="S597" s="2289"/>
      <c r="T597" s="2291"/>
      <c r="U597" s="2289"/>
      <c r="V597" s="2289"/>
      <c r="W597" s="2289"/>
      <c r="X597" s="2292"/>
      <c r="Y597" s="2292"/>
      <c r="Z597" s="2289"/>
      <c r="AA597" s="2289"/>
      <c r="AB597" s="2289"/>
      <c r="AC597" s="2289"/>
      <c r="AD597" s="2293"/>
      <c r="AE597" s="2293"/>
      <c r="AF597" s="2293"/>
      <c r="AG597" s="2293"/>
      <c r="AH597" s="2289"/>
      <c r="AI597" s="2289"/>
      <c r="AJ597" s="2294"/>
      <c r="AK597" s="2294"/>
      <c r="AL597" s="2289"/>
      <c r="AM597" s="2289"/>
      <c r="AN597" s="2289"/>
      <c r="AO597" s="2289"/>
      <c r="AP597" s="2289"/>
      <c r="AQ597" s="2289"/>
      <c r="AR597" s="2294"/>
      <c r="AS597" s="2294"/>
      <c r="AT597" s="2295"/>
      <c r="AU597" s="2295"/>
      <c r="AV597" s="2295"/>
      <c r="AW597" s="2295"/>
      <c r="AX597" s="2296"/>
      <c r="AY597" s="2289"/>
      <c r="AZ597" s="2289"/>
      <c r="BA597" s="2289"/>
      <c r="BB597" s="2289"/>
      <c r="BC597" s="2289"/>
      <c r="BD597" s="2289"/>
      <c r="BE597" s="2289"/>
      <c r="BF597" s="2289"/>
      <c r="BG597" s="2289"/>
      <c r="BH597" s="2289"/>
      <c r="BI597" s="2289"/>
      <c r="BJ597" s="2289"/>
      <c r="BK597" s="2289"/>
      <c r="BL597" s="2289"/>
      <c r="BM597" s="2289"/>
      <c r="BN597" s="2289"/>
      <c r="BO597" s="2289"/>
      <c r="BP597" s="2289"/>
      <c r="BQ597" s="2289"/>
      <c r="BR597" s="2289"/>
    </row>
    <row r="598" spans="1:70" ht="15.75" customHeight="1">
      <c r="A598" s="2289"/>
      <c r="B598" s="2289"/>
      <c r="C598" s="2289"/>
      <c r="D598" s="2289"/>
      <c r="E598" s="2289"/>
      <c r="F598" s="2289"/>
      <c r="G598" s="2290"/>
      <c r="H598" s="2289"/>
      <c r="I598" s="2289"/>
      <c r="J598" s="2290"/>
      <c r="K598" s="2289"/>
      <c r="L598" s="2289"/>
      <c r="M598" s="2290"/>
      <c r="N598" s="2290"/>
      <c r="O598" s="2290"/>
      <c r="P598" s="2290"/>
      <c r="Q598" s="2289"/>
      <c r="R598" s="2289"/>
      <c r="S598" s="2289"/>
      <c r="T598" s="2291"/>
      <c r="U598" s="2289"/>
      <c r="V598" s="2289"/>
      <c r="W598" s="2289"/>
      <c r="X598" s="2292"/>
      <c r="Y598" s="2292"/>
      <c r="Z598" s="2289"/>
      <c r="AA598" s="2289"/>
      <c r="AB598" s="2289"/>
      <c r="AC598" s="2289"/>
      <c r="AD598" s="2293"/>
      <c r="AE598" s="2293"/>
      <c r="AF598" s="2293"/>
      <c r="AG598" s="2293"/>
      <c r="AH598" s="2289"/>
      <c r="AI598" s="2289"/>
      <c r="AJ598" s="2294"/>
      <c r="AK598" s="2294"/>
      <c r="AL598" s="2289"/>
      <c r="AM598" s="2289"/>
      <c r="AN598" s="2289"/>
      <c r="AO598" s="2289"/>
      <c r="AP598" s="2289"/>
      <c r="AQ598" s="2289"/>
      <c r="AR598" s="2294"/>
      <c r="AS598" s="2294"/>
      <c r="AT598" s="2295"/>
      <c r="AU598" s="2295"/>
      <c r="AV598" s="2295"/>
      <c r="AW598" s="2295"/>
      <c r="AX598" s="2296"/>
      <c r="AY598" s="2289"/>
      <c r="AZ598" s="2289"/>
      <c r="BA598" s="2289"/>
      <c r="BB598" s="2289"/>
      <c r="BC598" s="2289"/>
      <c r="BD598" s="2289"/>
      <c r="BE598" s="2289"/>
      <c r="BF598" s="2289"/>
      <c r="BG598" s="2289"/>
      <c r="BH598" s="2289"/>
      <c r="BI598" s="2289"/>
      <c r="BJ598" s="2289"/>
      <c r="BK598" s="2289"/>
      <c r="BL598" s="2289"/>
      <c r="BM598" s="2289"/>
      <c r="BN598" s="2289"/>
      <c r="BO598" s="2289"/>
      <c r="BP598" s="2289"/>
      <c r="BQ598" s="2289"/>
      <c r="BR598" s="2289"/>
    </row>
    <row r="599" spans="1:70" ht="15.75" customHeight="1">
      <c r="A599" s="2289"/>
      <c r="B599" s="2289"/>
      <c r="C599" s="2289"/>
      <c r="D599" s="2289"/>
      <c r="E599" s="2289"/>
      <c r="F599" s="2289"/>
      <c r="G599" s="2290"/>
      <c r="H599" s="2289"/>
      <c r="I599" s="2289"/>
      <c r="J599" s="2290"/>
      <c r="K599" s="2289"/>
      <c r="L599" s="2289"/>
      <c r="M599" s="2290"/>
      <c r="N599" s="2290"/>
      <c r="O599" s="2290"/>
      <c r="P599" s="2290"/>
      <c r="Q599" s="2289"/>
      <c r="R599" s="2289"/>
      <c r="S599" s="2289"/>
      <c r="T599" s="2291"/>
      <c r="U599" s="2289"/>
      <c r="V599" s="2289"/>
      <c r="W599" s="2289"/>
      <c r="X599" s="2292"/>
      <c r="Y599" s="2292"/>
      <c r="Z599" s="2289"/>
      <c r="AA599" s="2289"/>
      <c r="AB599" s="2289"/>
      <c r="AC599" s="2289"/>
      <c r="AD599" s="2293"/>
      <c r="AE599" s="2293"/>
      <c r="AF599" s="2293"/>
      <c r="AG599" s="2293"/>
      <c r="AH599" s="2289"/>
      <c r="AI599" s="2289"/>
      <c r="AJ599" s="2294"/>
      <c r="AK599" s="2294"/>
      <c r="AL599" s="2289"/>
      <c r="AM599" s="2289"/>
      <c r="AN599" s="2289"/>
      <c r="AO599" s="2289"/>
      <c r="AP599" s="2289"/>
      <c r="AQ599" s="2289"/>
      <c r="AR599" s="2294"/>
      <c r="AS599" s="2294"/>
      <c r="AT599" s="2295"/>
      <c r="AU599" s="2295"/>
      <c r="AV599" s="2295"/>
      <c r="AW599" s="2295"/>
      <c r="AX599" s="2296"/>
      <c r="AY599" s="2289"/>
      <c r="AZ599" s="2289"/>
      <c r="BA599" s="2289"/>
      <c r="BB599" s="2289"/>
      <c r="BC599" s="2289"/>
      <c r="BD599" s="2289"/>
      <c r="BE599" s="2289"/>
      <c r="BF599" s="2289"/>
      <c r="BG599" s="2289"/>
      <c r="BH599" s="2289"/>
      <c r="BI599" s="2289"/>
      <c r="BJ599" s="2289"/>
      <c r="BK599" s="2289"/>
      <c r="BL599" s="2289"/>
      <c r="BM599" s="2289"/>
      <c r="BN599" s="2289"/>
      <c r="BO599" s="2289"/>
      <c r="BP599" s="2289"/>
      <c r="BQ599" s="2289"/>
      <c r="BR599" s="2289"/>
    </row>
    <row r="600" spans="1:70" ht="15.75" customHeight="1">
      <c r="A600" s="2289"/>
      <c r="B600" s="2289"/>
      <c r="C600" s="2289"/>
      <c r="D600" s="2289"/>
      <c r="E600" s="2289"/>
      <c r="F600" s="2289"/>
      <c r="G600" s="2290"/>
      <c r="H600" s="2289"/>
      <c r="I600" s="2289"/>
      <c r="J600" s="2290"/>
      <c r="K600" s="2289"/>
      <c r="L600" s="2289"/>
      <c r="M600" s="2290"/>
      <c r="N600" s="2290"/>
      <c r="O600" s="2290"/>
      <c r="P600" s="2290"/>
      <c r="Q600" s="2289"/>
      <c r="R600" s="2289"/>
      <c r="S600" s="2289"/>
      <c r="T600" s="2291"/>
      <c r="U600" s="2289"/>
      <c r="V600" s="2289"/>
      <c r="W600" s="2289"/>
      <c r="X600" s="2292"/>
      <c r="Y600" s="2292"/>
      <c r="Z600" s="2289"/>
      <c r="AA600" s="2289"/>
      <c r="AB600" s="2289"/>
      <c r="AC600" s="2289"/>
      <c r="AD600" s="2293"/>
      <c r="AE600" s="2293"/>
      <c r="AF600" s="2293"/>
      <c r="AG600" s="2293"/>
      <c r="AH600" s="2289"/>
      <c r="AI600" s="2289"/>
      <c r="AJ600" s="2294"/>
      <c r="AK600" s="2294"/>
      <c r="AL600" s="2289"/>
      <c r="AM600" s="2289"/>
      <c r="AN600" s="2289"/>
      <c r="AO600" s="2289"/>
      <c r="AP600" s="2289"/>
      <c r="AQ600" s="2289"/>
      <c r="AR600" s="2294"/>
      <c r="AS600" s="2294"/>
      <c r="AT600" s="2295"/>
      <c r="AU600" s="2295"/>
      <c r="AV600" s="2295"/>
      <c r="AW600" s="2295"/>
      <c r="AX600" s="2296"/>
      <c r="AY600" s="2289"/>
      <c r="AZ600" s="2289"/>
      <c r="BA600" s="2289"/>
      <c r="BB600" s="2289"/>
      <c r="BC600" s="2289"/>
      <c r="BD600" s="2289"/>
      <c r="BE600" s="2289"/>
      <c r="BF600" s="2289"/>
      <c r="BG600" s="2289"/>
      <c r="BH600" s="2289"/>
      <c r="BI600" s="2289"/>
      <c r="BJ600" s="2289"/>
      <c r="BK600" s="2289"/>
      <c r="BL600" s="2289"/>
      <c r="BM600" s="2289"/>
      <c r="BN600" s="2289"/>
      <c r="BO600" s="2289"/>
      <c r="BP600" s="2289"/>
      <c r="BQ600" s="2289"/>
      <c r="BR600" s="2289"/>
    </row>
    <row r="601" spans="1:70" ht="15.75" customHeight="1">
      <c r="A601" s="2289"/>
      <c r="B601" s="2289"/>
      <c r="C601" s="2289"/>
      <c r="D601" s="2289"/>
      <c r="E601" s="2289"/>
      <c r="F601" s="2289"/>
      <c r="G601" s="2290"/>
      <c r="H601" s="2289"/>
      <c r="I601" s="2289"/>
      <c r="J601" s="2290"/>
      <c r="K601" s="2289"/>
      <c r="L601" s="2289"/>
      <c r="M601" s="2290"/>
      <c r="N601" s="2290"/>
      <c r="O601" s="2290"/>
      <c r="P601" s="2290"/>
      <c r="Q601" s="2289"/>
      <c r="R601" s="2289"/>
      <c r="S601" s="2289"/>
      <c r="T601" s="2291"/>
      <c r="U601" s="2289"/>
      <c r="V601" s="2289"/>
      <c r="W601" s="2289"/>
      <c r="X601" s="2292"/>
      <c r="Y601" s="2292"/>
      <c r="Z601" s="2289"/>
      <c r="AA601" s="2289"/>
      <c r="AB601" s="2289"/>
      <c r="AC601" s="2289"/>
      <c r="AD601" s="2293"/>
      <c r="AE601" s="2293"/>
      <c r="AF601" s="2293"/>
      <c r="AG601" s="2293"/>
      <c r="AH601" s="2289"/>
      <c r="AI601" s="2289"/>
      <c r="AJ601" s="2294"/>
      <c r="AK601" s="2294"/>
      <c r="AL601" s="2289"/>
      <c r="AM601" s="2289"/>
      <c r="AN601" s="2289"/>
      <c r="AO601" s="2289"/>
      <c r="AP601" s="2289"/>
      <c r="AQ601" s="2289"/>
      <c r="AR601" s="2294"/>
      <c r="AS601" s="2294"/>
      <c r="AT601" s="2295"/>
      <c r="AU601" s="2295"/>
      <c r="AV601" s="2295"/>
      <c r="AW601" s="2295"/>
      <c r="AX601" s="2296"/>
      <c r="AY601" s="2289"/>
      <c r="AZ601" s="2289"/>
      <c r="BA601" s="2289"/>
      <c r="BB601" s="2289"/>
      <c r="BC601" s="2289"/>
      <c r="BD601" s="2289"/>
      <c r="BE601" s="2289"/>
      <c r="BF601" s="2289"/>
      <c r="BG601" s="2289"/>
      <c r="BH601" s="2289"/>
      <c r="BI601" s="2289"/>
      <c r="BJ601" s="2289"/>
      <c r="BK601" s="2289"/>
      <c r="BL601" s="2289"/>
      <c r="BM601" s="2289"/>
      <c r="BN601" s="2289"/>
      <c r="BO601" s="2289"/>
      <c r="BP601" s="2289"/>
      <c r="BQ601" s="2289"/>
      <c r="BR601" s="2289"/>
    </row>
    <row r="602" spans="1:70" ht="15.75" customHeight="1">
      <c r="A602" s="2289"/>
      <c r="B602" s="2289"/>
      <c r="C602" s="2289"/>
      <c r="D602" s="2289"/>
      <c r="E602" s="2289"/>
      <c r="F602" s="2289"/>
      <c r="G602" s="2290"/>
      <c r="H602" s="2289"/>
      <c r="I602" s="2289"/>
      <c r="J602" s="2290"/>
      <c r="K602" s="2289"/>
      <c r="L602" s="2289"/>
      <c r="M602" s="2290"/>
      <c r="N602" s="2290"/>
      <c r="O602" s="2290"/>
      <c r="P602" s="2290"/>
      <c r="Q602" s="2289"/>
      <c r="R602" s="2289"/>
      <c r="S602" s="2289"/>
      <c r="T602" s="2291"/>
      <c r="U602" s="2289"/>
      <c r="V602" s="2289"/>
      <c r="W602" s="2289"/>
      <c r="X602" s="2292"/>
      <c r="Y602" s="2292"/>
      <c r="Z602" s="2289"/>
      <c r="AA602" s="2289"/>
      <c r="AB602" s="2289"/>
      <c r="AC602" s="2289"/>
      <c r="AD602" s="2293"/>
      <c r="AE602" s="2293"/>
      <c r="AF602" s="2293"/>
      <c r="AG602" s="2293"/>
      <c r="AH602" s="2289"/>
      <c r="AI602" s="2289"/>
      <c r="AJ602" s="2294"/>
      <c r="AK602" s="2294"/>
      <c r="AL602" s="2289"/>
      <c r="AM602" s="2289"/>
      <c r="AN602" s="2289"/>
      <c r="AO602" s="2289"/>
      <c r="AP602" s="2289"/>
      <c r="AQ602" s="2289"/>
      <c r="AR602" s="2294"/>
      <c r="AS602" s="2294"/>
      <c r="AT602" s="2295"/>
      <c r="AU602" s="2295"/>
      <c r="AV602" s="2295"/>
      <c r="AW602" s="2295"/>
      <c r="AX602" s="2296"/>
      <c r="AY602" s="2289"/>
      <c r="AZ602" s="2289"/>
      <c r="BA602" s="2289"/>
      <c r="BB602" s="2289"/>
      <c r="BC602" s="2289"/>
      <c r="BD602" s="2289"/>
      <c r="BE602" s="2289"/>
      <c r="BF602" s="2289"/>
      <c r="BG602" s="2289"/>
      <c r="BH602" s="2289"/>
      <c r="BI602" s="2289"/>
      <c r="BJ602" s="2289"/>
      <c r="BK602" s="2289"/>
      <c r="BL602" s="2289"/>
      <c r="BM602" s="2289"/>
      <c r="BN602" s="2289"/>
      <c r="BO602" s="2289"/>
      <c r="BP602" s="2289"/>
      <c r="BQ602" s="2289"/>
      <c r="BR602" s="2289"/>
    </row>
    <row r="603" spans="1:70" ht="15.75" customHeight="1">
      <c r="A603" s="2289"/>
      <c r="B603" s="2289"/>
      <c r="C603" s="2289"/>
      <c r="D603" s="2289"/>
      <c r="E603" s="2289"/>
      <c r="F603" s="2289"/>
      <c r="G603" s="2290"/>
      <c r="H603" s="2289"/>
      <c r="I603" s="2289"/>
      <c r="J603" s="2290"/>
      <c r="K603" s="2289"/>
      <c r="L603" s="2289"/>
      <c r="M603" s="2290"/>
      <c r="N603" s="2290"/>
      <c r="O603" s="2290"/>
      <c r="P603" s="2290"/>
      <c r="Q603" s="2289"/>
      <c r="R603" s="2289"/>
      <c r="S603" s="2289"/>
      <c r="T603" s="2291"/>
      <c r="U603" s="2289"/>
      <c r="V603" s="2289"/>
      <c r="W603" s="2289"/>
      <c r="X603" s="2292"/>
      <c r="Y603" s="2292"/>
      <c r="Z603" s="2289"/>
      <c r="AA603" s="2289"/>
      <c r="AB603" s="2289"/>
      <c r="AC603" s="2289"/>
      <c r="AD603" s="2293"/>
      <c r="AE603" s="2293"/>
      <c r="AF603" s="2293"/>
      <c r="AG603" s="2293"/>
      <c r="AH603" s="2289"/>
      <c r="AI603" s="2289"/>
      <c r="AJ603" s="2294"/>
      <c r="AK603" s="2294"/>
      <c r="AL603" s="2289"/>
      <c r="AM603" s="2289"/>
      <c r="AN603" s="2289"/>
      <c r="AO603" s="2289"/>
      <c r="AP603" s="2289"/>
      <c r="AQ603" s="2289"/>
      <c r="AR603" s="2294"/>
      <c r="AS603" s="2294"/>
      <c r="AT603" s="2295"/>
      <c r="AU603" s="2295"/>
      <c r="AV603" s="2295"/>
      <c r="AW603" s="2295"/>
      <c r="AX603" s="2296"/>
      <c r="AY603" s="2289"/>
      <c r="AZ603" s="2289"/>
      <c r="BA603" s="2289"/>
      <c r="BB603" s="2289"/>
      <c r="BC603" s="2289"/>
      <c r="BD603" s="2289"/>
      <c r="BE603" s="2289"/>
      <c r="BF603" s="2289"/>
      <c r="BG603" s="2289"/>
      <c r="BH603" s="2289"/>
      <c r="BI603" s="2289"/>
      <c r="BJ603" s="2289"/>
      <c r="BK603" s="2289"/>
      <c r="BL603" s="2289"/>
      <c r="BM603" s="2289"/>
      <c r="BN603" s="2289"/>
      <c r="BO603" s="2289"/>
      <c r="BP603" s="2289"/>
      <c r="BQ603" s="2289"/>
      <c r="BR603" s="2289"/>
    </row>
    <row r="604" spans="1:70" ht="15.75" customHeight="1">
      <c r="A604" s="2289"/>
      <c r="B604" s="2289"/>
      <c r="C604" s="2289"/>
      <c r="D604" s="2289"/>
      <c r="E604" s="2289"/>
      <c r="F604" s="2289"/>
      <c r="G604" s="2290"/>
      <c r="H604" s="2289"/>
      <c r="I604" s="2289"/>
      <c r="J604" s="2290"/>
      <c r="K604" s="2289"/>
      <c r="L604" s="2289"/>
      <c r="M604" s="2290"/>
      <c r="N604" s="2290"/>
      <c r="O604" s="2290"/>
      <c r="P604" s="2290"/>
      <c r="Q604" s="2289"/>
      <c r="R604" s="2289"/>
      <c r="S604" s="2289"/>
      <c r="T604" s="2291"/>
      <c r="U604" s="2289"/>
      <c r="V604" s="2289"/>
      <c r="W604" s="2289"/>
      <c r="X604" s="2292"/>
      <c r="Y604" s="2292"/>
      <c r="Z604" s="2289"/>
      <c r="AA604" s="2289"/>
      <c r="AB604" s="2289"/>
      <c r="AC604" s="2289"/>
      <c r="AD604" s="2293"/>
      <c r="AE604" s="2293"/>
      <c r="AF604" s="2293"/>
      <c r="AG604" s="2293"/>
      <c r="AH604" s="2289"/>
      <c r="AI604" s="2289"/>
      <c r="AJ604" s="2294"/>
      <c r="AK604" s="2294"/>
      <c r="AL604" s="2289"/>
      <c r="AM604" s="2289"/>
      <c r="AN604" s="2289"/>
      <c r="AO604" s="2289"/>
      <c r="AP604" s="2289"/>
      <c r="AQ604" s="2289"/>
      <c r="AR604" s="2294"/>
      <c r="AS604" s="2294"/>
      <c r="AT604" s="2295"/>
      <c r="AU604" s="2295"/>
      <c r="AV604" s="2295"/>
      <c r="AW604" s="2295"/>
      <c r="AX604" s="2296"/>
      <c r="AY604" s="2289"/>
      <c r="AZ604" s="2289"/>
      <c r="BA604" s="2289"/>
      <c r="BB604" s="2289"/>
      <c r="BC604" s="2289"/>
      <c r="BD604" s="2289"/>
      <c r="BE604" s="2289"/>
      <c r="BF604" s="2289"/>
      <c r="BG604" s="2289"/>
      <c r="BH604" s="2289"/>
      <c r="BI604" s="2289"/>
      <c r="BJ604" s="2289"/>
      <c r="BK604" s="2289"/>
      <c r="BL604" s="2289"/>
      <c r="BM604" s="2289"/>
      <c r="BN604" s="2289"/>
      <c r="BO604" s="2289"/>
      <c r="BP604" s="2289"/>
      <c r="BQ604" s="2289"/>
      <c r="BR604" s="2289"/>
    </row>
    <row r="605" spans="1:70" ht="15.75" customHeight="1">
      <c r="A605" s="2289"/>
      <c r="B605" s="2289"/>
      <c r="C605" s="2289"/>
      <c r="D605" s="2289"/>
      <c r="E605" s="2289"/>
      <c r="F605" s="2289"/>
      <c r="G605" s="2290"/>
      <c r="H605" s="2289"/>
      <c r="I605" s="2289"/>
      <c r="J605" s="2290"/>
      <c r="K605" s="2289"/>
      <c r="L605" s="2289"/>
      <c r="M605" s="2290"/>
      <c r="N605" s="2290"/>
      <c r="O605" s="2290"/>
      <c r="P605" s="2290"/>
      <c r="Q605" s="2289"/>
      <c r="R605" s="2289"/>
      <c r="S605" s="2289"/>
      <c r="T605" s="2291"/>
      <c r="U605" s="2289"/>
      <c r="V605" s="2289"/>
      <c r="W605" s="2289"/>
      <c r="X605" s="2292"/>
      <c r="Y605" s="2292"/>
      <c r="Z605" s="2289"/>
      <c r="AA605" s="2289"/>
      <c r="AB605" s="2289"/>
      <c r="AC605" s="2289"/>
      <c r="AD605" s="2293"/>
      <c r="AE605" s="2293"/>
      <c r="AF605" s="2293"/>
      <c r="AG605" s="2293"/>
      <c r="AH605" s="2289"/>
      <c r="AI605" s="2289"/>
      <c r="AJ605" s="2294"/>
      <c r="AK605" s="2294"/>
      <c r="AL605" s="2289"/>
      <c r="AM605" s="2289"/>
      <c r="AN605" s="2289"/>
      <c r="AO605" s="2289"/>
      <c r="AP605" s="2289"/>
      <c r="AQ605" s="2289"/>
      <c r="AR605" s="2294"/>
      <c r="AS605" s="2294"/>
      <c r="AT605" s="2295"/>
      <c r="AU605" s="2295"/>
      <c r="AV605" s="2295"/>
      <c r="AW605" s="2295"/>
      <c r="AX605" s="2296"/>
      <c r="AY605" s="2289"/>
      <c r="AZ605" s="2289"/>
      <c r="BA605" s="2289"/>
      <c r="BB605" s="2289"/>
      <c r="BC605" s="2289"/>
      <c r="BD605" s="2289"/>
      <c r="BE605" s="2289"/>
      <c r="BF605" s="2289"/>
      <c r="BG605" s="2289"/>
      <c r="BH605" s="2289"/>
      <c r="BI605" s="2289"/>
      <c r="BJ605" s="2289"/>
      <c r="BK605" s="2289"/>
      <c r="BL605" s="2289"/>
      <c r="BM605" s="2289"/>
      <c r="BN605" s="2289"/>
      <c r="BO605" s="2289"/>
      <c r="BP605" s="2289"/>
      <c r="BQ605" s="2289"/>
      <c r="BR605" s="2289"/>
    </row>
    <row r="606" spans="1:70" ht="15.75" customHeight="1">
      <c r="A606" s="2289"/>
      <c r="B606" s="2289"/>
      <c r="C606" s="2289"/>
      <c r="D606" s="2289"/>
      <c r="E606" s="2289"/>
      <c r="F606" s="2289"/>
      <c r="G606" s="2290"/>
      <c r="H606" s="2289"/>
      <c r="I606" s="2289"/>
      <c r="J606" s="2290"/>
      <c r="K606" s="2289"/>
      <c r="L606" s="2289"/>
      <c r="M606" s="2290"/>
      <c r="N606" s="2290"/>
      <c r="O606" s="2290"/>
      <c r="P606" s="2290"/>
      <c r="Q606" s="2289"/>
      <c r="R606" s="2289"/>
      <c r="S606" s="2289"/>
      <c r="T606" s="2291"/>
      <c r="U606" s="2289"/>
      <c r="V606" s="2289"/>
      <c r="W606" s="2289"/>
      <c r="X606" s="2292"/>
      <c r="Y606" s="2292"/>
      <c r="Z606" s="2289"/>
      <c r="AA606" s="2289"/>
      <c r="AB606" s="2289"/>
      <c r="AC606" s="2289"/>
      <c r="AD606" s="2293"/>
      <c r="AE606" s="2293"/>
      <c r="AF606" s="2293"/>
      <c r="AG606" s="2293"/>
      <c r="AH606" s="2289"/>
      <c r="AI606" s="2289"/>
      <c r="AJ606" s="2294"/>
      <c r="AK606" s="2294"/>
      <c r="AL606" s="2289"/>
      <c r="AM606" s="2289"/>
      <c r="AN606" s="2289"/>
      <c r="AO606" s="2289"/>
      <c r="AP606" s="2289"/>
      <c r="AQ606" s="2289"/>
      <c r="AR606" s="2294"/>
      <c r="AS606" s="2294"/>
      <c r="AT606" s="2295"/>
      <c r="AU606" s="2295"/>
      <c r="AV606" s="2295"/>
      <c r="AW606" s="2295"/>
      <c r="AX606" s="2296"/>
      <c r="AY606" s="2289"/>
      <c r="AZ606" s="2289"/>
      <c r="BA606" s="2289"/>
      <c r="BB606" s="2289"/>
      <c r="BC606" s="2289"/>
      <c r="BD606" s="2289"/>
      <c r="BE606" s="2289"/>
      <c r="BF606" s="2289"/>
      <c r="BG606" s="2289"/>
      <c r="BH606" s="2289"/>
      <c r="BI606" s="2289"/>
      <c r="BJ606" s="2289"/>
      <c r="BK606" s="2289"/>
      <c r="BL606" s="2289"/>
      <c r="BM606" s="2289"/>
      <c r="BN606" s="2289"/>
      <c r="BO606" s="2289"/>
      <c r="BP606" s="2289"/>
      <c r="BQ606" s="2289"/>
      <c r="BR606" s="2289"/>
    </row>
    <row r="607" spans="1:70" ht="15.75" customHeight="1">
      <c r="A607" s="2289"/>
      <c r="B607" s="2289"/>
      <c r="C607" s="2289"/>
      <c r="D607" s="2289"/>
      <c r="E607" s="2289"/>
      <c r="F607" s="2289"/>
      <c r="G607" s="2290"/>
      <c r="H607" s="2289"/>
      <c r="I607" s="2289"/>
      <c r="J607" s="2290"/>
      <c r="K607" s="2289"/>
      <c r="L607" s="2289"/>
      <c r="M607" s="2290"/>
      <c r="N607" s="2290"/>
      <c r="O607" s="2290"/>
      <c r="P607" s="2290"/>
      <c r="Q607" s="2289"/>
      <c r="R607" s="2289"/>
      <c r="S607" s="2289"/>
      <c r="T607" s="2291"/>
      <c r="U607" s="2289"/>
      <c r="V607" s="2289"/>
      <c r="W607" s="2289"/>
      <c r="X607" s="2292"/>
      <c r="Y607" s="2292"/>
      <c r="Z607" s="2289"/>
      <c r="AA607" s="2289"/>
      <c r="AB607" s="2289"/>
      <c r="AC607" s="2289"/>
      <c r="AD607" s="2293"/>
      <c r="AE607" s="2293"/>
      <c r="AF607" s="2293"/>
      <c r="AG607" s="2293"/>
      <c r="AH607" s="2289"/>
      <c r="AI607" s="2289"/>
      <c r="AJ607" s="2294"/>
      <c r="AK607" s="2294"/>
      <c r="AL607" s="2289"/>
      <c r="AM607" s="2289"/>
      <c r="AN607" s="2289"/>
      <c r="AO607" s="2289"/>
      <c r="AP607" s="2289"/>
      <c r="AQ607" s="2289"/>
      <c r="AR607" s="2294"/>
      <c r="AS607" s="2294"/>
      <c r="AT607" s="2295"/>
      <c r="AU607" s="2295"/>
      <c r="AV607" s="2295"/>
      <c r="AW607" s="2295"/>
      <c r="AX607" s="2296"/>
      <c r="AY607" s="2289"/>
      <c r="AZ607" s="2289"/>
      <c r="BA607" s="2289"/>
      <c r="BB607" s="2289"/>
      <c r="BC607" s="2289"/>
      <c r="BD607" s="2289"/>
      <c r="BE607" s="2289"/>
      <c r="BF607" s="2289"/>
      <c r="BG607" s="2289"/>
      <c r="BH607" s="2289"/>
      <c r="BI607" s="2289"/>
      <c r="BJ607" s="2289"/>
      <c r="BK607" s="2289"/>
      <c r="BL607" s="2289"/>
      <c r="BM607" s="2289"/>
      <c r="BN607" s="2289"/>
      <c r="BO607" s="2289"/>
      <c r="BP607" s="2289"/>
      <c r="BQ607" s="2289"/>
      <c r="BR607" s="2289"/>
    </row>
    <row r="608" spans="1:70" ht="15.75" customHeight="1">
      <c r="A608" s="2289"/>
      <c r="B608" s="2289"/>
      <c r="C608" s="2289"/>
      <c r="D608" s="2289"/>
      <c r="E608" s="2289"/>
      <c r="F608" s="2289"/>
      <c r="G608" s="2290"/>
      <c r="H608" s="2289"/>
      <c r="I608" s="2289"/>
      <c r="J608" s="2290"/>
      <c r="K608" s="2289"/>
      <c r="L608" s="2289"/>
      <c r="M608" s="2290"/>
      <c r="N608" s="2290"/>
      <c r="O608" s="2290"/>
      <c r="P608" s="2290"/>
      <c r="Q608" s="2289"/>
      <c r="R608" s="2289"/>
      <c r="S608" s="2289"/>
      <c r="T608" s="2291"/>
      <c r="U608" s="2289"/>
      <c r="V608" s="2289"/>
      <c r="W608" s="2289"/>
      <c r="X608" s="2292"/>
      <c r="Y608" s="2292"/>
      <c r="Z608" s="2289"/>
      <c r="AA608" s="2289"/>
      <c r="AB608" s="2289"/>
      <c r="AC608" s="2289"/>
      <c r="AD608" s="2293"/>
      <c r="AE608" s="2293"/>
      <c r="AF608" s="2293"/>
      <c r="AG608" s="2293"/>
      <c r="AH608" s="2289"/>
      <c r="AI608" s="2289"/>
      <c r="AJ608" s="2294"/>
      <c r="AK608" s="2294"/>
      <c r="AL608" s="2289"/>
      <c r="AM608" s="2289"/>
      <c r="AN608" s="2289"/>
      <c r="AO608" s="2289"/>
      <c r="AP608" s="2289"/>
      <c r="AQ608" s="2289"/>
      <c r="AR608" s="2294"/>
      <c r="AS608" s="2294"/>
      <c r="AT608" s="2295"/>
      <c r="AU608" s="2295"/>
      <c r="AV608" s="2295"/>
      <c r="AW608" s="2295"/>
      <c r="AX608" s="2296"/>
      <c r="AY608" s="2289"/>
      <c r="AZ608" s="2289"/>
      <c r="BA608" s="2289"/>
      <c r="BB608" s="2289"/>
      <c r="BC608" s="2289"/>
      <c r="BD608" s="2289"/>
      <c r="BE608" s="2289"/>
      <c r="BF608" s="2289"/>
      <c r="BG608" s="2289"/>
      <c r="BH608" s="2289"/>
      <c r="BI608" s="2289"/>
      <c r="BJ608" s="2289"/>
      <c r="BK608" s="2289"/>
      <c r="BL608" s="2289"/>
      <c r="BM608" s="2289"/>
      <c r="BN608" s="2289"/>
      <c r="BO608" s="2289"/>
      <c r="BP608" s="2289"/>
      <c r="BQ608" s="2289"/>
      <c r="BR608" s="2289"/>
    </row>
    <row r="609" spans="1:70" ht="15.75" customHeight="1">
      <c r="A609" s="2289"/>
      <c r="B609" s="2289"/>
      <c r="C609" s="2289"/>
      <c r="D609" s="2289"/>
      <c r="E609" s="2289"/>
      <c r="F609" s="2289"/>
      <c r="G609" s="2290"/>
      <c r="H609" s="2289"/>
      <c r="I609" s="2289"/>
      <c r="J609" s="2290"/>
      <c r="K609" s="2289"/>
      <c r="L609" s="2289"/>
      <c r="M609" s="2290"/>
      <c r="N609" s="2290"/>
      <c r="O609" s="2290"/>
      <c r="P609" s="2290"/>
      <c r="Q609" s="2289"/>
      <c r="R609" s="2289"/>
      <c r="S609" s="2289"/>
      <c r="T609" s="2291"/>
      <c r="U609" s="2289"/>
      <c r="V609" s="2289"/>
      <c r="W609" s="2289"/>
      <c r="X609" s="2292"/>
      <c r="Y609" s="2292"/>
      <c r="Z609" s="2289"/>
      <c r="AA609" s="2289"/>
      <c r="AB609" s="2289"/>
      <c r="AC609" s="2289"/>
      <c r="AD609" s="2293"/>
      <c r="AE609" s="2293"/>
      <c r="AF609" s="2293"/>
      <c r="AG609" s="2293"/>
      <c r="AH609" s="2289"/>
      <c r="AI609" s="2289"/>
      <c r="AJ609" s="2294"/>
      <c r="AK609" s="2294"/>
      <c r="AL609" s="2289"/>
      <c r="AM609" s="2289"/>
      <c r="AN609" s="2289"/>
      <c r="AO609" s="2289"/>
      <c r="AP609" s="2289"/>
      <c r="AQ609" s="2289"/>
      <c r="AR609" s="2294"/>
      <c r="AS609" s="2294"/>
      <c r="AT609" s="2295"/>
      <c r="AU609" s="2295"/>
      <c r="AV609" s="2295"/>
      <c r="AW609" s="2295"/>
      <c r="AX609" s="2296"/>
      <c r="AY609" s="2289"/>
      <c r="AZ609" s="2289"/>
      <c r="BA609" s="2289"/>
      <c r="BB609" s="2289"/>
      <c r="BC609" s="2289"/>
      <c r="BD609" s="2289"/>
      <c r="BE609" s="2289"/>
      <c r="BF609" s="2289"/>
      <c r="BG609" s="2289"/>
      <c r="BH609" s="2289"/>
      <c r="BI609" s="2289"/>
      <c r="BJ609" s="2289"/>
      <c r="BK609" s="2289"/>
      <c r="BL609" s="2289"/>
      <c r="BM609" s="2289"/>
      <c r="BN609" s="2289"/>
      <c r="BO609" s="2289"/>
      <c r="BP609" s="2289"/>
      <c r="BQ609" s="2289"/>
      <c r="BR609" s="2289"/>
    </row>
    <row r="610" spans="1:70" ht="15.75" customHeight="1">
      <c r="A610" s="2289"/>
      <c r="B610" s="2289"/>
      <c r="C610" s="2289"/>
      <c r="D610" s="2289"/>
      <c r="E610" s="2289"/>
      <c r="F610" s="2289"/>
      <c r="G610" s="2290"/>
      <c r="H610" s="2289"/>
      <c r="I610" s="2289"/>
      <c r="J610" s="2290"/>
      <c r="K610" s="2289"/>
      <c r="L610" s="2289"/>
      <c r="M610" s="2290"/>
      <c r="N610" s="2290"/>
      <c r="O610" s="2290"/>
      <c r="P610" s="2290"/>
      <c r="Q610" s="2289"/>
      <c r="R610" s="2289"/>
      <c r="S610" s="2289"/>
      <c r="T610" s="2291"/>
      <c r="U610" s="2289"/>
      <c r="V610" s="2289"/>
      <c r="W610" s="2289"/>
      <c r="X610" s="2292"/>
      <c r="Y610" s="2292"/>
      <c r="Z610" s="2289"/>
      <c r="AA610" s="2289"/>
      <c r="AB610" s="2289"/>
      <c r="AC610" s="2289"/>
      <c r="AD610" s="2293"/>
      <c r="AE610" s="2293"/>
      <c r="AF610" s="2293"/>
      <c r="AG610" s="2293"/>
      <c r="AH610" s="2289"/>
      <c r="AI610" s="2289"/>
      <c r="AJ610" s="2294"/>
      <c r="AK610" s="2294"/>
      <c r="AL610" s="2289"/>
      <c r="AM610" s="2289"/>
      <c r="AN610" s="2289"/>
      <c r="AO610" s="2289"/>
      <c r="AP610" s="2289"/>
      <c r="AQ610" s="2289"/>
      <c r="AR610" s="2294"/>
      <c r="AS610" s="2294"/>
      <c r="AT610" s="2295"/>
      <c r="AU610" s="2295"/>
      <c r="AV610" s="2295"/>
      <c r="AW610" s="2295"/>
      <c r="AX610" s="2296"/>
      <c r="AY610" s="2289"/>
      <c r="AZ610" s="2289"/>
      <c r="BA610" s="2289"/>
      <c r="BB610" s="2289"/>
      <c r="BC610" s="2289"/>
      <c r="BD610" s="2289"/>
      <c r="BE610" s="2289"/>
      <c r="BF610" s="2289"/>
      <c r="BG610" s="2289"/>
      <c r="BH610" s="2289"/>
      <c r="BI610" s="2289"/>
      <c r="BJ610" s="2289"/>
      <c r="BK610" s="2289"/>
      <c r="BL610" s="2289"/>
      <c r="BM610" s="2289"/>
      <c r="BN610" s="2289"/>
      <c r="BO610" s="2289"/>
      <c r="BP610" s="2289"/>
      <c r="BQ610" s="2289"/>
      <c r="BR610" s="2289"/>
    </row>
    <row r="611" spans="1:70" ht="15.75" customHeight="1">
      <c r="A611" s="2289"/>
      <c r="B611" s="2289"/>
      <c r="C611" s="2289"/>
      <c r="D611" s="2289"/>
      <c r="E611" s="2289"/>
      <c r="F611" s="2289"/>
      <c r="G611" s="2290"/>
      <c r="H611" s="2289"/>
      <c r="I611" s="2289"/>
      <c r="J611" s="2290"/>
      <c r="K611" s="2289"/>
      <c r="L611" s="2289"/>
      <c r="M611" s="2290"/>
      <c r="N611" s="2290"/>
      <c r="O611" s="2290"/>
      <c r="P611" s="2290"/>
      <c r="Q611" s="2289"/>
      <c r="R611" s="2289"/>
      <c r="S611" s="2289"/>
      <c r="T611" s="2291"/>
      <c r="U611" s="2289"/>
      <c r="V611" s="2289"/>
      <c r="W611" s="2289"/>
      <c r="X611" s="2292"/>
      <c r="Y611" s="2292"/>
      <c r="Z611" s="2289"/>
      <c r="AA611" s="2289"/>
      <c r="AB611" s="2289"/>
      <c r="AC611" s="2289"/>
      <c r="AD611" s="2293"/>
      <c r="AE611" s="2293"/>
      <c r="AF611" s="2293"/>
      <c r="AG611" s="2293"/>
      <c r="AH611" s="2289"/>
      <c r="AI611" s="2289"/>
      <c r="AJ611" s="2294"/>
      <c r="AK611" s="2294"/>
      <c r="AL611" s="2289"/>
      <c r="AM611" s="2289"/>
      <c r="AN611" s="2289"/>
      <c r="AO611" s="2289"/>
      <c r="AP611" s="2289"/>
      <c r="AQ611" s="2289"/>
      <c r="AR611" s="2294"/>
      <c r="AS611" s="2294"/>
      <c r="AT611" s="2295"/>
      <c r="AU611" s="2295"/>
      <c r="AV611" s="2295"/>
      <c r="AW611" s="2295"/>
      <c r="AX611" s="2296"/>
      <c r="AY611" s="2289"/>
      <c r="AZ611" s="2289"/>
      <c r="BA611" s="2289"/>
      <c r="BB611" s="2289"/>
      <c r="BC611" s="2289"/>
      <c r="BD611" s="2289"/>
      <c r="BE611" s="2289"/>
      <c r="BF611" s="2289"/>
      <c r="BG611" s="2289"/>
      <c r="BH611" s="2289"/>
      <c r="BI611" s="2289"/>
      <c r="BJ611" s="2289"/>
      <c r="BK611" s="2289"/>
      <c r="BL611" s="2289"/>
      <c r="BM611" s="2289"/>
      <c r="BN611" s="2289"/>
      <c r="BO611" s="2289"/>
      <c r="BP611" s="2289"/>
      <c r="BQ611" s="2289"/>
      <c r="BR611" s="2289"/>
    </row>
    <row r="612" spans="1:70" ht="15.75" customHeight="1">
      <c r="A612" s="2289"/>
      <c r="B612" s="2289"/>
      <c r="C612" s="2289"/>
      <c r="D612" s="2289"/>
      <c r="E612" s="2289"/>
      <c r="F612" s="2289"/>
      <c r="G612" s="2290"/>
      <c r="H612" s="2289"/>
      <c r="I612" s="2289"/>
      <c r="J612" s="2290"/>
      <c r="K612" s="2289"/>
      <c r="L612" s="2289"/>
      <c r="M612" s="2290"/>
      <c r="N612" s="2290"/>
      <c r="O612" s="2290"/>
      <c r="P612" s="2290"/>
      <c r="Q612" s="2289"/>
      <c r="R612" s="2289"/>
      <c r="S612" s="2289"/>
      <c r="T612" s="2291"/>
      <c r="U612" s="2289"/>
      <c r="V612" s="2289"/>
      <c r="W612" s="2289"/>
      <c r="X612" s="2292"/>
      <c r="Y612" s="2292"/>
      <c r="Z612" s="2289"/>
      <c r="AA612" s="2289"/>
      <c r="AB612" s="2289"/>
      <c r="AC612" s="2289"/>
      <c r="AD612" s="2293"/>
      <c r="AE612" s="2293"/>
      <c r="AF612" s="2293"/>
      <c r="AG612" s="2293"/>
      <c r="AH612" s="2289"/>
      <c r="AI612" s="2289"/>
      <c r="AJ612" s="2294"/>
      <c r="AK612" s="2294"/>
      <c r="AL612" s="2289"/>
      <c r="AM612" s="2289"/>
      <c r="AN612" s="2289"/>
      <c r="AO612" s="2289"/>
      <c r="AP612" s="2289"/>
      <c r="AQ612" s="2289"/>
      <c r="AR612" s="2294"/>
      <c r="AS612" s="2294"/>
      <c r="AT612" s="2295"/>
      <c r="AU612" s="2295"/>
      <c r="AV612" s="2295"/>
      <c r="AW612" s="2295"/>
      <c r="AX612" s="2296"/>
      <c r="AY612" s="2289"/>
      <c r="AZ612" s="2289"/>
      <c r="BA612" s="2289"/>
      <c r="BB612" s="2289"/>
      <c r="BC612" s="2289"/>
      <c r="BD612" s="2289"/>
      <c r="BE612" s="2289"/>
      <c r="BF612" s="2289"/>
      <c r="BG612" s="2289"/>
      <c r="BH612" s="2289"/>
      <c r="BI612" s="2289"/>
      <c r="BJ612" s="2289"/>
      <c r="BK612" s="2289"/>
      <c r="BL612" s="2289"/>
      <c r="BM612" s="2289"/>
      <c r="BN612" s="2289"/>
      <c r="BO612" s="2289"/>
      <c r="BP612" s="2289"/>
      <c r="BQ612" s="2289"/>
      <c r="BR612" s="2289"/>
    </row>
    <row r="613" spans="1:70" ht="15.75" customHeight="1">
      <c r="A613" s="2289"/>
      <c r="B613" s="2289"/>
      <c r="C613" s="2289"/>
      <c r="D613" s="2289"/>
      <c r="E613" s="2289"/>
      <c r="F613" s="2289"/>
      <c r="G613" s="2290"/>
      <c r="H613" s="2289"/>
      <c r="I613" s="2289"/>
      <c r="J613" s="2290"/>
      <c r="K613" s="2289"/>
      <c r="L613" s="2289"/>
      <c r="M613" s="2290"/>
      <c r="N613" s="2290"/>
      <c r="O613" s="2290"/>
      <c r="P613" s="2290"/>
      <c r="Q613" s="2289"/>
      <c r="R613" s="2289"/>
      <c r="S613" s="2289"/>
      <c r="T613" s="2291"/>
      <c r="U613" s="2289"/>
      <c r="V613" s="2289"/>
      <c r="W613" s="2289"/>
      <c r="X613" s="2292"/>
      <c r="Y613" s="2292"/>
      <c r="Z613" s="2289"/>
      <c r="AA613" s="2289"/>
      <c r="AB613" s="2289"/>
      <c r="AC613" s="2289"/>
      <c r="AD613" s="2293"/>
      <c r="AE613" s="2293"/>
      <c r="AF613" s="2293"/>
      <c r="AG613" s="2293"/>
      <c r="AH613" s="2289"/>
      <c r="AI613" s="2289"/>
      <c r="AJ613" s="2294"/>
      <c r="AK613" s="2294"/>
      <c r="AL613" s="2289"/>
      <c r="AM613" s="2289"/>
      <c r="AN613" s="2289"/>
      <c r="AO613" s="2289"/>
      <c r="AP613" s="2289"/>
      <c r="AQ613" s="2289"/>
      <c r="AR613" s="2294"/>
      <c r="AS613" s="2294"/>
      <c r="AT613" s="2295"/>
      <c r="AU613" s="2295"/>
      <c r="AV613" s="2295"/>
      <c r="AW613" s="2295"/>
      <c r="AX613" s="2296"/>
      <c r="AY613" s="2289"/>
      <c r="AZ613" s="2289"/>
      <c r="BA613" s="2289"/>
      <c r="BB613" s="2289"/>
      <c r="BC613" s="2289"/>
      <c r="BD613" s="2289"/>
      <c r="BE613" s="2289"/>
      <c r="BF613" s="2289"/>
      <c r="BG613" s="2289"/>
      <c r="BH613" s="2289"/>
      <c r="BI613" s="2289"/>
      <c r="BJ613" s="2289"/>
      <c r="BK613" s="2289"/>
      <c r="BL613" s="2289"/>
      <c r="BM613" s="2289"/>
      <c r="BN613" s="2289"/>
      <c r="BO613" s="2289"/>
      <c r="BP613" s="2289"/>
      <c r="BQ613" s="2289"/>
      <c r="BR613" s="2289"/>
    </row>
    <row r="614" spans="1:70" ht="15.75" customHeight="1">
      <c r="A614" s="2289"/>
      <c r="B614" s="2289"/>
      <c r="C614" s="2289"/>
      <c r="D614" s="2289"/>
      <c r="E614" s="2289"/>
      <c r="F614" s="2289"/>
      <c r="G614" s="2290"/>
      <c r="H614" s="2289"/>
      <c r="I614" s="2289"/>
      <c r="J614" s="2290"/>
      <c r="K614" s="2289"/>
      <c r="L614" s="2289"/>
      <c r="M614" s="2290"/>
      <c r="N614" s="2290"/>
      <c r="O614" s="2290"/>
      <c r="P614" s="2290"/>
      <c r="Q614" s="2289"/>
      <c r="R614" s="2289"/>
      <c r="S614" s="2289"/>
      <c r="T614" s="2291"/>
      <c r="U614" s="2289"/>
      <c r="V614" s="2289"/>
      <c r="W614" s="2289"/>
      <c r="X614" s="2292"/>
      <c r="Y614" s="2292"/>
      <c r="Z614" s="2289"/>
      <c r="AA614" s="2289"/>
      <c r="AB614" s="2289"/>
      <c r="AC614" s="2289"/>
      <c r="AD614" s="2293"/>
      <c r="AE614" s="2293"/>
      <c r="AF614" s="2293"/>
      <c r="AG614" s="2293"/>
      <c r="AH614" s="2289"/>
      <c r="AI614" s="2289"/>
      <c r="AJ614" s="2294"/>
      <c r="AK614" s="2294"/>
      <c r="AL614" s="2289"/>
      <c r="AM614" s="2289"/>
      <c r="AN614" s="2289"/>
      <c r="AO614" s="2289"/>
      <c r="AP614" s="2289"/>
      <c r="AQ614" s="2289"/>
      <c r="AR614" s="2294"/>
      <c r="AS614" s="2294"/>
      <c r="AT614" s="2295"/>
      <c r="AU614" s="2295"/>
      <c r="AV614" s="2295"/>
      <c r="AW614" s="2295"/>
      <c r="AX614" s="2296"/>
      <c r="AY614" s="2289"/>
      <c r="AZ614" s="2289"/>
      <c r="BA614" s="2289"/>
      <c r="BB614" s="2289"/>
      <c r="BC614" s="2289"/>
      <c r="BD614" s="2289"/>
      <c r="BE614" s="2289"/>
      <c r="BF614" s="2289"/>
      <c r="BG614" s="2289"/>
      <c r="BH614" s="2289"/>
      <c r="BI614" s="2289"/>
      <c r="BJ614" s="2289"/>
      <c r="BK614" s="2289"/>
      <c r="BL614" s="2289"/>
      <c r="BM614" s="2289"/>
      <c r="BN614" s="2289"/>
      <c r="BO614" s="2289"/>
      <c r="BP614" s="2289"/>
      <c r="BQ614" s="2289"/>
      <c r="BR614" s="2289"/>
    </row>
    <row r="615" spans="1:70" ht="15.75" customHeight="1">
      <c r="A615" s="2289"/>
      <c r="B615" s="2289"/>
      <c r="C615" s="2289"/>
      <c r="D615" s="2289"/>
      <c r="E615" s="2289"/>
      <c r="F615" s="2289"/>
      <c r="G615" s="2290"/>
      <c r="H615" s="2289"/>
      <c r="I615" s="2289"/>
      <c r="J615" s="2290"/>
      <c r="K615" s="2289"/>
      <c r="L615" s="2289"/>
      <c r="M615" s="2290"/>
      <c r="N615" s="2290"/>
      <c r="O615" s="2290"/>
      <c r="P615" s="2290"/>
      <c r="Q615" s="2289"/>
      <c r="R615" s="2289"/>
      <c r="S615" s="2289"/>
      <c r="T615" s="2291"/>
      <c r="U615" s="2289"/>
      <c r="V615" s="2289"/>
      <c r="W615" s="2289"/>
      <c r="X615" s="2292"/>
      <c r="Y615" s="2292"/>
      <c r="Z615" s="2289"/>
      <c r="AA615" s="2289"/>
      <c r="AB615" s="2289"/>
      <c r="AC615" s="2289"/>
      <c r="AD615" s="2293"/>
      <c r="AE615" s="2293"/>
      <c r="AF615" s="2293"/>
      <c r="AG615" s="2293"/>
      <c r="AH615" s="2289"/>
      <c r="AI615" s="2289"/>
      <c r="AJ615" s="2294"/>
      <c r="AK615" s="2294"/>
      <c r="AL615" s="2289"/>
      <c r="AM615" s="2289"/>
      <c r="AN615" s="2289"/>
      <c r="AO615" s="2289"/>
      <c r="AP615" s="2289"/>
      <c r="AQ615" s="2289"/>
      <c r="AR615" s="2294"/>
      <c r="AS615" s="2294"/>
      <c r="AT615" s="2295"/>
      <c r="AU615" s="2295"/>
      <c r="AV615" s="2295"/>
      <c r="AW615" s="2295"/>
      <c r="AX615" s="2296"/>
      <c r="AY615" s="2289"/>
      <c r="AZ615" s="2289"/>
      <c r="BA615" s="2289"/>
      <c r="BB615" s="2289"/>
      <c r="BC615" s="2289"/>
      <c r="BD615" s="2289"/>
      <c r="BE615" s="2289"/>
      <c r="BF615" s="2289"/>
      <c r="BG615" s="2289"/>
      <c r="BH615" s="2289"/>
      <c r="BI615" s="2289"/>
      <c r="BJ615" s="2289"/>
      <c r="BK615" s="2289"/>
      <c r="BL615" s="2289"/>
      <c r="BM615" s="2289"/>
      <c r="BN615" s="2289"/>
      <c r="BO615" s="2289"/>
      <c r="BP615" s="2289"/>
      <c r="BQ615" s="2289"/>
      <c r="BR615" s="2289"/>
    </row>
    <row r="616" spans="1:70" ht="15.75" customHeight="1">
      <c r="A616" s="2289"/>
      <c r="B616" s="2289"/>
      <c r="C616" s="2289"/>
      <c r="D616" s="2289"/>
      <c r="E616" s="2289"/>
      <c r="F616" s="2289"/>
      <c r="G616" s="2290"/>
      <c r="H616" s="2289"/>
      <c r="I616" s="2289"/>
      <c r="J616" s="2290"/>
      <c r="K616" s="2289"/>
      <c r="L616" s="2289"/>
      <c r="M616" s="2290"/>
      <c r="N616" s="2290"/>
      <c r="O616" s="2290"/>
      <c r="P616" s="2290"/>
      <c r="Q616" s="2289"/>
      <c r="R616" s="2289"/>
      <c r="S616" s="2289"/>
      <c r="T616" s="2291"/>
      <c r="U616" s="2289"/>
      <c r="V616" s="2289"/>
      <c r="W616" s="2289"/>
      <c r="X616" s="2292"/>
      <c r="Y616" s="2292"/>
      <c r="Z616" s="2289"/>
      <c r="AA616" s="2289"/>
      <c r="AB616" s="2289"/>
      <c r="AC616" s="2289"/>
      <c r="AD616" s="2293"/>
      <c r="AE616" s="2293"/>
      <c r="AF616" s="2293"/>
      <c r="AG616" s="2293"/>
      <c r="AH616" s="2289"/>
      <c r="AI616" s="2289"/>
      <c r="AJ616" s="2294"/>
      <c r="AK616" s="2294"/>
      <c r="AL616" s="2289"/>
      <c r="AM616" s="2289"/>
      <c r="AN616" s="2289"/>
      <c r="AO616" s="2289"/>
      <c r="AP616" s="2289"/>
      <c r="AQ616" s="2289"/>
      <c r="AR616" s="2294"/>
      <c r="AS616" s="2294"/>
      <c r="AT616" s="2295"/>
      <c r="AU616" s="2295"/>
      <c r="AV616" s="2295"/>
      <c r="AW616" s="2295"/>
      <c r="AX616" s="2296"/>
      <c r="AY616" s="2289"/>
      <c r="AZ616" s="2289"/>
      <c r="BA616" s="2289"/>
      <c r="BB616" s="2289"/>
      <c r="BC616" s="2289"/>
      <c r="BD616" s="2289"/>
      <c r="BE616" s="2289"/>
      <c r="BF616" s="2289"/>
      <c r="BG616" s="2289"/>
      <c r="BH616" s="2289"/>
      <c r="BI616" s="2289"/>
      <c r="BJ616" s="2289"/>
      <c r="BK616" s="2289"/>
      <c r="BL616" s="2289"/>
      <c r="BM616" s="2289"/>
      <c r="BN616" s="2289"/>
      <c r="BO616" s="2289"/>
      <c r="BP616" s="2289"/>
      <c r="BQ616" s="2289"/>
      <c r="BR616" s="2289"/>
    </row>
    <row r="617" spans="1:70" ht="15.75" customHeight="1">
      <c r="A617" s="2289"/>
      <c r="B617" s="2289"/>
      <c r="C617" s="2289"/>
      <c r="D617" s="2289"/>
      <c r="E617" s="2289"/>
      <c r="F617" s="2289"/>
      <c r="G617" s="2290"/>
      <c r="H617" s="2289"/>
      <c r="I617" s="2289"/>
      <c r="J617" s="2290"/>
      <c r="K617" s="2289"/>
      <c r="L617" s="2289"/>
      <c r="M617" s="2290"/>
      <c r="N617" s="2290"/>
      <c r="O617" s="2290"/>
      <c r="P617" s="2290"/>
      <c r="Q617" s="2289"/>
      <c r="R617" s="2289"/>
      <c r="S617" s="2289"/>
      <c r="T617" s="2291"/>
      <c r="U617" s="2289"/>
      <c r="V617" s="2289"/>
      <c r="W617" s="2289"/>
      <c r="X617" s="2292"/>
      <c r="Y617" s="2292"/>
      <c r="Z617" s="2289"/>
      <c r="AA617" s="2289"/>
      <c r="AB617" s="2289"/>
      <c r="AC617" s="2289"/>
      <c r="AD617" s="2293"/>
      <c r="AE617" s="2293"/>
      <c r="AF617" s="2293"/>
      <c r="AG617" s="2293"/>
      <c r="AH617" s="2289"/>
      <c r="AI617" s="2289"/>
      <c r="AJ617" s="2294"/>
      <c r="AK617" s="2294"/>
      <c r="AL617" s="2289"/>
      <c r="AM617" s="2289"/>
      <c r="AN617" s="2289"/>
      <c r="AO617" s="2289"/>
      <c r="AP617" s="2289"/>
      <c r="AQ617" s="2289"/>
      <c r="AR617" s="2294"/>
      <c r="AS617" s="2294"/>
      <c r="AT617" s="2295"/>
      <c r="AU617" s="2295"/>
      <c r="AV617" s="2295"/>
      <c r="AW617" s="2295"/>
      <c r="AX617" s="2296"/>
      <c r="AY617" s="2289"/>
      <c r="AZ617" s="2289"/>
      <c r="BA617" s="2289"/>
      <c r="BB617" s="2289"/>
      <c r="BC617" s="2289"/>
      <c r="BD617" s="2289"/>
      <c r="BE617" s="2289"/>
      <c r="BF617" s="2289"/>
      <c r="BG617" s="2289"/>
      <c r="BH617" s="2289"/>
      <c r="BI617" s="2289"/>
      <c r="BJ617" s="2289"/>
      <c r="BK617" s="2289"/>
      <c r="BL617" s="2289"/>
      <c r="BM617" s="2289"/>
      <c r="BN617" s="2289"/>
      <c r="BO617" s="2289"/>
      <c r="BP617" s="2289"/>
      <c r="BQ617" s="2289"/>
      <c r="BR617" s="2289"/>
    </row>
    <row r="618" spans="1:70" ht="15.75" customHeight="1">
      <c r="A618" s="2289"/>
      <c r="B618" s="2289"/>
      <c r="C618" s="2289"/>
      <c r="D618" s="2289"/>
      <c r="E618" s="2289"/>
      <c r="F618" s="2289"/>
      <c r="G618" s="2290"/>
      <c r="H618" s="2289"/>
      <c r="I618" s="2289"/>
      <c r="J618" s="2290"/>
      <c r="K618" s="2289"/>
      <c r="L618" s="2289"/>
      <c r="M618" s="2290"/>
      <c r="N618" s="2290"/>
      <c r="O618" s="2290"/>
      <c r="P618" s="2290"/>
      <c r="Q618" s="2289"/>
      <c r="R618" s="2289"/>
      <c r="S618" s="2289"/>
      <c r="T618" s="2291"/>
      <c r="U618" s="2289"/>
      <c r="V618" s="2289"/>
      <c r="W618" s="2289"/>
      <c r="X618" s="2292"/>
      <c r="Y618" s="2292"/>
      <c r="Z618" s="2289"/>
      <c r="AA618" s="2289"/>
      <c r="AB618" s="2289"/>
      <c r="AC618" s="2289"/>
      <c r="AD618" s="2293"/>
      <c r="AE618" s="2293"/>
      <c r="AF618" s="2293"/>
      <c r="AG618" s="2293"/>
      <c r="AH618" s="2289"/>
      <c r="AI618" s="2289"/>
      <c r="AJ618" s="2294"/>
      <c r="AK618" s="2294"/>
      <c r="AL618" s="2289"/>
      <c r="AM618" s="2289"/>
      <c r="AN618" s="2289"/>
      <c r="AO618" s="2289"/>
      <c r="AP618" s="2289"/>
      <c r="AQ618" s="2289"/>
      <c r="AR618" s="2294"/>
      <c r="AS618" s="2294"/>
      <c r="AT618" s="2295"/>
      <c r="AU618" s="2295"/>
      <c r="AV618" s="2295"/>
      <c r="AW618" s="2295"/>
      <c r="AX618" s="2296"/>
      <c r="AY618" s="2289"/>
      <c r="AZ618" s="2289"/>
      <c r="BA618" s="2289"/>
      <c r="BB618" s="2289"/>
      <c r="BC618" s="2289"/>
      <c r="BD618" s="2289"/>
      <c r="BE618" s="2289"/>
      <c r="BF618" s="2289"/>
      <c r="BG618" s="2289"/>
      <c r="BH618" s="2289"/>
      <c r="BI618" s="2289"/>
      <c r="BJ618" s="2289"/>
      <c r="BK618" s="2289"/>
      <c r="BL618" s="2289"/>
      <c r="BM618" s="2289"/>
      <c r="BN618" s="2289"/>
      <c r="BO618" s="2289"/>
      <c r="BP618" s="2289"/>
      <c r="BQ618" s="2289"/>
      <c r="BR618" s="2289"/>
    </row>
    <row r="619" spans="1:70" ht="15.75" customHeight="1">
      <c r="A619" s="2289"/>
      <c r="B619" s="2289"/>
      <c r="C619" s="2289"/>
      <c r="D619" s="2289"/>
      <c r="E619" s="2289"/>
      <c r="F619" s="2289"/>
      <c r="G619" s="2290"/>
      <c r="H619" s="2289"/>
      <c r="I619" s="2289"/>
      <c r="J619" s="2290"/>
      <c r="K619" s="2289"/>
      <c r="L619" s="2289"/>
      <c r="M619" s="2290"/>
      <c r="N619" s="2290"/>
      <c r="O619" s="2290"/>
      <c r="P619" s="2290"/>
      <c r="Q619" s="2289"/>
      <c r="R619" s="2289"/>
      <c r="S619" s="2289"/>
      <c r="T619" s="2291"/>
      <c r="U619" s="2289"/>
      <c r="V619" s="2289"/>
      <c r="W619" s="2289"/>
      <c r="X619" s="2292"/>
      <c r="Y619" s="2292"/>
      <c r="Z619" s="2289"/>
      <c r="AA619" s="2289"/>
      <c r="AB619" s="2289"/>
      <c r="AC619" s="2289"/>
      <c r="AD619" s="2293"/>
      <c r="AE619" s="2293"/>
      <c r="AF619" s="2293"/>
      <c r="AG619" s="2293"/>
      <c r="AH619" s="2289"/>
      <c r="AI619" s="2289"/>
      <c r="AJ619" s="2294"/>
      <c r="AK619" s="2294"/>
      <c r="AL619" s="2289"/>
      <c r="AM619" s="2289"/>
      <c r="AN619" s="2289"/>
      <c r="AO619" s="2289"/>
      <c r="AP619" s="2289"/>
      <c r="AQ619" s="2289"/>
      <c r="AR619" s="2294"/>
      <c r="AS619" s="2294"/>
      <c r="AT619" s="2295"/>
      <c r="AU619" s="2295"/>
      <c r="AV619" s="2295"/>
      <c r="AW619" s="2295"/>
      <c r="AX619" s="2296"/>
      <c r="AY619" s="2289"/>
      <c r="AZ619" s="2289"/>
      <c r="BA619" s="2289"/>
      <c r="BB619" s="2289"/>
      <c r="BC619" s="2289"/>
      <c r="BD619" s="2289"/>
      <c r="BE619" s="2289"/>
      <c r="BF619" s="2289"/>
      <c r="BG619" s="2289"/>
      <c r="BH619" s="2289"/>
      <c r="BI619" s="2289"/>
      <c r="BJ619" s="2289"/>
      <c r="BK619" s="2289"/>
      <c r="BL619" s="2289"/>
      <c r="BM619" s="2289"/>
      <c r="BN619" s="2289"/>
      <c r="BO619" s="2289"/>
      <c r="BP619" s="2289"/>
      <c r="BQ619" s="2289"/>
      <c r="BR619" s="2289"/>
    </row>
    <row r="620" spans="1:70" ht="15.75" customHeight="1">
      <c r="A620" s="2289"/>
      <c r="B620" s="2289"/>
      <c r="C620" s="2289"/>
      <c r="D620" s="2289"/>
      <c r="E620" s="2289"/>
      <c r="F620" s="2289"/>
      <c r="G620" s="2290"/>
      <c r="H620" s="2289"/>
      <c r="I620" s="2289"/>
      <c r="J620" s="2290"/>
      <c r="K620" s="2289"/>
      <c r="L620" s="2289"/>
      <c r="M620" s="2290"/>
      <c r="N620" s="2290"/>
      <c r="O620" s="2290"/>
      <c r="P620" s="2290"/>
      <c r="Q620" s="2289"/>
      <c r="R620" s="2289"/>
      <c r="S620" s="2289"/>
      <c r="T620" s="2291"/>
      <c r="U620" s="2289"/>
      <c r="V620" s="2289"/>
      <c r="W620" s="2289"/>
      <c r="X620" s="2292"/>
      <c r="Y620" s="2292"/>
      <c r="Z620" s="2289"/>
      <c r="AA620" s="2289"/>
      <c r="AB620" s="2289"/>
      <c r="AC620" s="2289"/>
      <c r="AD620" s="2293"/>
      <c r="AE620" s="2293"/>
      <c r="AF620" s="2293"/>
      <c r="AG620" s="2293"/>
      <c r="AH620" s="2289"/>
      <c r="AI620" s="2289"/>
      <c r="AJ620" s="2294"/>
      <c r="AK620" s="2294"/>
      <c r="AL620" s="2289"/>
      <c r="AM620" s="2289"/>
      <c r="AN620" s="2289"/>
      <c r="AO620" s="2289"/>
      <c r="AP620" s="2289"/>
      <c r="AQ620" s="2289"/>
      <c r="AR620" s="2294"/>
      <c r="AS620" s="2294"/>
      <c r="AT620" s="2295"/>
      <c r="AU620" s="2295"/>
      <c r="AV620" s="2295"/>
      <c r="AW620" s="2295"/>
      <c r="AX620" s="2296"/>
      <c r="AY620" s="2289"/>
      <c r="AZ620" s="2289"/>
      <c r="BA620" s="2289"/>
      <c r="BB620" s="2289"/>
      <c r="BC620" s="2289"/>
      <c r="BD620" s="2289"/>
      <c r="BE620" s="2289"/>
      <c r="BF620" s="2289"/>
      <c r="BG620" s="2289"/>
      <c r="BH620" s="2289"/>
      <c r="BI620" s="2289"/>
      <c r="BJ620" s="2289"/>
      <c r="BK620" s="2289"/>
      <c r="BL620" s="2289"/>
      <c r="BM620" s="2289"/>
      <c r="BN620" s="2289"/>
      <c r="BO620" s="2289"/>
      <c r="BP620" s="2289"/>
      <c r="BQ620" s="2289"/>
      <c r="BR620" s="2289"/>
    </row>
    <row r="621" spans="1:70" ht="15.75" customHeight="1">
      <c r="A621" s="2289"/>
      <c r="B621" s="2289"/>
      <c r="C621" s="2289"/>
      <c r="D621" s="2289"/>
      <c r="E621" s="2289"/>
      <c r="F621" s="2289"/>
      <c r="G621" s="2290"/>
      <c r="H621" s="2289"/>
      <c r="I621" s="2289"/>
      <c r="J621" s="2290"/>
      <c r="K621" s="2289"/>
      <c r="L621" s="2289"/>
      <c r="M621" s="2290"/>
      <c r="N621" s="2290"/>
      <c r="O621" s="2290"/>
      <c r="P621" s="2290"/>
      <c r="Q621" s="2289"/>
      <c r="R621" s="2289"/>
      <c r="S621" s="2289"/>
      <c r="T621" s="2291"/>
      <c r="U621" s="2289"/>
      <c r="V621" s="2289"/>
      <c r="W621" s="2289"/>
      <c r="X621" s="2292"/>
      <c r="Y621" s="2292"/>
      <c r="Z621" s="2289"/>
      <c r="AA621" s="2289"/>
      <c r="AB621" s="2289"/>
      <c r="AC621" s="2289"/>
      <c r="AD621" s="2293"/>
      <c r="AE621" s="2293"/>
      <c r="AF621" s="2293"/>
      <c r="AG621" s="2293"/>
      <c r="AH621" s="2289"/>
      <c r="AI621" s="2289"/>
      <c r="AJ621" s="2294"/>
      <c r="AK621" s="2294"/>
      <c r="AL621" s="2289"/>
      <c r="AM621" s="2289"/>
      <c r="AN621" s="2289"/>
      <c r="AO621" s="2289"/>
      <c r="AP621" s="2289"/>
      <c r="AQ621" s="2289"/>
      <c r="AR621" s="2294"/>
      <c r="AS621" s="2294"/>
      <c r="AT621" s="2295"/>
      <c r="AU621" s="2295"/>
      <c r="AV621" s="2295"/>
      <c r="AW621" s="2295"/>
      <c r="AX621" s="2296"/>
      <c r="AY621" s="2289"/>
      <c r="AZ621" s="2289"/>
      <c r="BA621" s="2289"/>
      <c r="BB621" s="2289"/>
      <c r="BC621" s="2289"/>
      <c r="BD621" s="2289"/>
      <c r="BE621" s="2289"/>
      <c r="BF621" s="2289"/>
      <c r="BG621" s="2289"/>
      <c r="BH621" s="2289"/>
      <c r="BI621" s="2289"/>
      <c r="BJ621" s="2289"/>
      <c r="BK621" s="2289"/>
      <c r="BL621" s="2289"/>
      <c r="BM621" s="2289"/>
      <c r="BN621" s="2289"/>
      <c r="BO621" s="2289"/>
      <c r="BP621" s="2289"/>
      <c r="BQ621" s="2289"/>
      <c r="BR621" s="2289"/>
    </row>
    <row r="622" spans="1:70" ht="15.75" customHeight="1">
      <c r="A622" s="2289"/>
      <c r="B622" s="2289"/>
      <c r="C622" s="2289"/>
      <c r="D622" s="2289"/>
      <c r="E622" s="2289"/>
      <c r="F622" s="2289"/>
      <c r="G622" s="2290"/>
      <c r="H622" s="2289"/>
      <c r="I622" s="2289"/>
      <c r="J622" s="2290"/>
      <c r="K622" s="2289"/>
      <c r="L622" s="2289"/>
      <c r="M622" s="2290"/>
      <c r="N622" s="2290"/>
      <c r="O622" s="2290"/>
      <c r="P622" s="2290"/>
      <c r="Q622" s="2289"/>
      <c r="R622" s="2289"/>
      <c r="S622" s="2289"/>
      <c r="T622" s="2291"/>
      <c r="U622" s="2289"/>
      <c r="V622" s="2289"/>
      <c r="W622" s="2289"/>
      <c r="X622" s="2292"/>
      <c r="Y622" s="2292"/>
      <c r="Z622" s="2289"/>
      <c r="AA622" s="2289"/>
      <c r="AB622" s="2289"/>
      <c r="AC622" s="2289"/>
      <c r="AD622" s="2293"/>
      <c r="AE622" s="2293"/>
      <c r="AF622" s="2293"/>
      <c r="AG622" s="2293"/>
      <c r="AH622" s="2289"/>
      <c r="AI622" s="2289"/>
      <c r="AJ622" s="2294"/>
      <c r="AK622" s="2294"/>
      <c r="AL622" s="2289"/>
      <c r="AM622" s="2289"/>
      <c r="AN622" s="2289"/>
      <c r="AO622" s="2289"/>
      <c r="AP622" s="2289"/>
      <c r="AQ622" s="2289"/>
      <c r="AR622" s="2294"/>
      <c r="AS622" s="2294"/>
      <c r="AT622" s="2295"/>
      <c r="AU622" s="2295"/>
      <c r="AV622" s="2295"/>
      <c r="AW622" s="2295"/>
      <c r="AX622" s="2296"/>
      <c r="AY622" s="2289"/>
      <c r="AZ622" s="2289"/>
      <c r="BA622" s="2289"/>
      <c r="BB622" s="2289"/>
      <c r="BC622" s="2289"/>
      <c r="BD622" s="2289"/>
      <c r="BE622" s="2289"/>
      <c r="BF622" s="2289"/>
      <c r="BG622" s="2289"/>
      <c r="BH622" s="2289"/>
      <c r="BI622" s="2289"/>
      <c r="BJ622" s="2289"/>
      <c r="BK622" s="2289"/>
      <c r="BL622" s="2289"/>
      <c r="BM622" s="2289"/>
      <c r="BN622" s="2289"/>
      <c r="BO622" s="2289"/>
      <c r="BP622" s="2289"/>
      <c r="BQ622" s="2289"/>
      <c r="BR622" s="2289"/>
    </row>
    <row r="623" spans="1:70" ht="15.75" customHeight="1">
      <c r="A623" s="2289"/>
      <c r="B623" s="2289"/>
      <c r="C623" s="2289"/>
      <c r="D623" s="2289"/>
      <c r="E623" s="2289"/>
      <c r="F623" s="2289"/>
      <c r="G623" s="2290"/>
      <c r="H623" s="2289"/>
      <c r="I623" s="2289"/>
      <c r="J623" s="2290"/>
      <c r="K623" s="2289"/>
      <c r="L623" s="2289"/>
      <c r="M623" s="2290"/>
      <c r="N623" s="2290"/>
      <c r="O623" s="2290"/>
      <c r="P623" s="2290"/>
      <c r="Q623" s="2289"/>
      <c r="R623" s="2289"/>
      <c r="S623" s="2289"/>
      <c r="T623" s="2291"/>
      <c r="U623" s="2289"/>
      <c r="V623" s="2289"/>
      <c r="W623" s="2289"/>
      <c r="X623" s="2292"/>
      <c r="Y623" s="2292"/>
      <c r="Z623" s="2289"/>
      <c r="AA623" s="2289"/>
      <c r="AB623" s="2289"/>
      <c r="AC623" s="2289"/>
      <c r="AD623" s="2293"/>
      <c r="AE623" s="2293"/>
      <c r="AF623" s="2293"/>
      <c r="AG623" s="2293"/>
      <c r="AH623" s="2289"/>
      <c r="AI623" s="2289"/>
      <c r="AJ623" s="2294"/>
      <c r="AK623" s="2294"/>
      <c r="AL623" s="2289"/>
      <c r="AM623" s="2289"/>
      <c r="AN623" s="2289"/>
      <c r="AO623" s="2289"/>
      <c r="AP623" s="2289"/>
      <c r="AQ623" s="2289"/>
      <c r="AR623" s="2294"/>
      <c r="AS623" s="2294"/>
      <c r="AT623" s="2295"/>
      <c r="AU623" s="2295"/>
      <c r="AV623" s="2295"/>
      <c r="AW623" s="2295"/>
      <c r="AX623" s="2296"/>
      <c r="AY623" s="2289"/>
      <c r="AZ623" s="2289"/>
      <c r="BA623" s="2289"/>
      <c r="BB623" s="2289"/>
      <c r="BC623" s="2289"/>
      <c r="BD623" s="2289"/>
      <c r="BE623" s="2289"/>
      <c r="BF623" s="2289"/>
      <c r="BG623" s="2289"/>
      <c r="BH623" s="2289"/>
      <c r="BI623" s="2289"/>
      <c r="BJ623" s="2289"/>
      <c r="BK623" s="2289"/>
      <c r="BL623" s="2289"/>
      <c r="BM623" s="2289"/>
      <c r="BN623" s="2289"/>
      <c r="BO623" s="2289"/>
      <c r="BP623" s="2289"/>
      <c r="BQ623" s="2289"/>
      <c r="BR623" s="2289"/>
    </row>
    <row r="624" spans="1:70" ht="15.75" customHeight="1">
      <c r="A624" s="2289"/>
      <c r="B624" s="2289"/>
      <c r="C624" s="2289"/>
      <c r="D624" s="2289"/>
      <c r="E624" s="2289"/>
      <c r="F624" s="2289"/>
      <c r="G624" s="2290"/>
      <c r="H624" s="2289"/>
      <c r="I624" s="2289"/>
      <c r="J624" s="2290"/>
      <c r="K624" s="2289"/>
      <c r="L624" s="2289"/>
      <c r="M624" s="2290"/>
      <c r="N624" s="2290"/>
      <c r="O624" s="2290"/>
      <c r="P624" s="2290"/>
      <c r="Q624" s="2289"/>
      <c r="R624" s="2289"/>
      <c r="S624" s="2289"/>
      <c r="T624" s="2291"/>
      <c r="U624" s="2289"/>
      <c r="V624" s="2289"/>
      <c r="W624" s="2289"/>
      <c r="X624" s="2292"/>
      <c r="Y624" s="2292"/>
      <c r="Z624" s="2289"/>
      <c r="AA624" s="2289"/>
      <c r="AB624" s="2289"/>
      <c r="AC624" s="2289"/>
      <c r="AD624" s="2293"/>
      <c r="AE624" s="2293"/>
      <c r="AF624" s="2293"/>
      <c r="AG624" s="2293"/>
      <c r="AH624" s="2289"/>
      <c r="AI624" s="2289"/>
      <c r="AJ624" s="2294"/>
      <c r="AK624" s="2294"/>
      <c r="AL624" s="2289"/>
      <c r="AM624" s="2289"/>
      <c r="AN624" s="2289"/>
      <c r="AO624" s="2289"/>
      <c r="AP624" s="2289"/>
      <c r="AQ624" s="2289"/>
      <c r="AR624" s="2294"/>
      <c r="AS624" s="2294"/>
      <c r="AT624" s="2295"/>
      <c r="AU624" s="2295"/>
      <c r="AV624" s="2295"/>
      <c r="AW624" s="2295"/>
      <c r="AX624" s="2296"/>
      <c r="AY624" s="2289"/>
      <c r="AZ624" s="2289"/>
      <c r="BA624" s="2289"/>
      <c r="BB624" s="2289"/>
      <c r="BC624" s="2289"/>
      <c r="BD624" s="2289"/>
      <c r="BE624" s="2289"/>
      <c r="BF624" s="2289"/>
      <c r="BG624" s="2289"/>
      <c r="BH624" s="2289"/>
      <c r="BI624" s="2289"/>
      <c r="BJ624" s="2289"/>
      <c r="BK624" s="2289"/>
      <c r="BL624" s="2289"/>
      <c r="BM624" s="2289"/>
      <c r="BN624" s="2289"/>
      <c r="BO624" s="2289"/>
      <c r="BP624" s="2289"/>
      <c r="BQ624" s="2289"/>
      <c r="BR624" s="2289"/>
    </row>
    <row r="625" spans="1:70" ht="15.75" customHeight="1">
      <c r="A625" s="2289"/>
      <c r="B625" s="2289"/>
      <c r="C625" s="2289"/>
      <c r="D625" s="2289"/>
      <c r="E625" s="2289"/>
      <c r="F625" s="2289"/>
      <c r="G625" s="2290"/>
      <c r="H625" s="2289"/>
      <c r="I625" s="2289"/>
      <c r="J625" s="2290"/>
      <c r="K625" s="2289"/>
      <c r="L625" s="2289"/>
      <c r="M625" s="2290"/>
      <c r="N625" s="2290"/>
      <c r="O625" s="2290"/>
      <c r="P625" s="2290"/>
      <c r="Q625" s="2289"/>
      <c r="R625" s="2289"/>
      <c r="S625" s="2289"/>
      <c r="T625" s="2291"/>
      <c r="U625" s="2289"/>
      <c r="V625" s="2289"/>
      <c r="W625" s="2289"/>
      <c r="X625" s="2292"/>
      <c r="Y625" s="2292"/>
      <c r="Z625" s="2289"/>
      <c r="AA625" s="2289"/>
      <c r="AB625" s="2289"/>
      <c r="AC625" s="2289"/>
      <c r="AD625" s="2293"/>
      <c r="AE625" s="2293"/>
      <c r="AF625" s="2293"/>
      <c r="AG625" s="2293"/>
      <c r="AH625" s="2289"/>
      <c r="AI625" s="2289"/>
      <c r="AJ625" s="2294"/>
      <c r="AK625" s="2294"/>
      <c r="AL625" s="2289"/>
      <c r="AM625" s="2289"/>
      <c r="AN625" s="2289"/>
      <c r="AO625" s="2289"/>
      <c r="AP625" s="2289"/>
      <c r="AQ625" s="2289"/>
      <c r="AR625" s="2294"/>
      <c r="AS625" s="2294"/>
      <c r="AT625" s="2295"/>
      <c r="AU625" s="2295"/>
      <c r="AV625" s="2295"/>
      <c r="AW625" s="2295"/>
      <c r="AX625" s="2296"/>
      <c r="AY625" s="2289"/>
      <c r="AZ625" s="2289"/>
      <c r="BA625" s="2289"/>
      <c r="BB625" s="2289"/>
      <c r="BC625" s="2289"/>
      <c r="BD625" s="2289"/>
      <c r="BE625" s="2289"/>
      <c r="BF625" s="2289"/>
      <c r="BG625" s="2289"/>
      <c r="BH625" s="2289"/>
      <c r="BI625" s="2289"/>
      <c r="BJ625" s="2289"/>
      <c r="BK625" s="2289"/>
      <c r="BL625" s="2289"/>
      <c r="BM625" s="2289"/>
      <c r="BN625" s="2289"/>
      <c r="BO625" s="2289"/>
      <c r="BP625" s="2289"/>
      <c r="BQ625" s="2289"/>
      <c r="BR625" s="2289"/>
    </row>
    <row r="626" spans="1:70" ht="15.75" customHeight="1">
      <c r="A626" s="2289"/>
      <c r="B626" s="2289"/>
      <c r="C626" s="2289"/>
      <c r="D626" s="2289"/>
      <c r="E626" s="2289"/>
      <c r="F626" s="2289"/>
      <c r="G626" s="2290"/>
      <c r="H626" s="2289"/>
      <c r="I626" s="2289"/>
      <c r="J626" s="2290"/>
      <c r="K626" s="2289"/>
      <c r="L626" s="2289"/>
      <c r="M626" s="2290"/>
      <c r="N626" s="2290"/>
      <c r="O626" s="2290"/>
      <c r="P626" s="2290"/>
      <c r="Q626" s="2289"/>
      <c r="R626" s="2289"/>
      <c r="S626" s="2289"/>
      <c r="T626" s="2291"/>
      <c r="U626" s="2289"/>
      <c r="V626" s="2289"/>
      <c r="W626" s="2289"/>
      <c r="X626" s="2292"/>
      <c r="Y626" s="2292"/>
      <c r="Z626" s="2289"/>
      <c r="AA626" s="2289"/>
      <c r="AB626" s="2289"/>
      <c r="AC626" s="2289"/>
      <c r="AD626" s="2293"/>
      <c r="AE626" s="2293"/>
      <c r="AF626" s="2293"/>
      <c r="AG626" s="2293"/>
      <c r="AH626" s="2289"/>
      <c r="AI626" s="2289"/>
      <c r="AJ626" s="2294"/>
      <c r="AK626" s="2294"/>
      <c r="AL626" s="2289"/>
      <c r="AM626" s="2289"/>
      <c r="AN626" s="2289"/>
      <c r="AO626" s="2289"/>
      <c r="AP626" s="2289"/>
      <c r="AQ626" s="2289"/>
      <c r="AR626" s="2294"/>
      <c r="AS626" s="2294"/>
      <c r="AT626" s="2295"/>
      <c r="AU626" s="2295"/>
      <c r="AV626" s="2295"/>
      <c r="AW626" s="2295"/>
      <c r="AX626" s="2296"/>
      <c r="AY626" s="2289"/>
      <c r="AZ626" s="2289"/>
      <c r="BA626" s="2289"/>
      <c r="BB626" s="2289"/>
      <c r="BC626" s="2289"/>
      <c r="BD626" s="2289"/>
      <c r="BE626" s="2289"/>
      <c r="BF626" s="2289"/>
      <c r="BG626" s="2289"/>
      <c r="BH626" s="2289"/>
      <c r="BI626" s="2289"/>
      <c r="BJ626" s="2289"/>
      <c r="BK626" s="2289"/>
      <c r="BL626" s="2289"/>
      <c r="BM626" s="2289"/>
      <c r="BN626" s="2289"/>
      <c r="BO626" s="2289"/>
      <c r="BP626" s="2289"/>
      <c r="BQ626" s="2289"/>
      <c r="BR626" s="2289"/>
    </row>
    <row r="627" spans="1:70" ht="15.75" customHeight="1">
      <c r="A627" s="2289"/>
      <c r="B627" s="2289"/>
      <c r="C627" s="2289"/>
      <c r="D627" s="2289"/>
      <c r="E627" s="2289"/>
      <c r="F627" s="2289"/>
      <c r="G627" s="2290"/>
      <c r="H627" s="2289"/>
      <c r="I627" s="2289"/>
      <c r="J627" s="2290"/>
      <c r="K627" s="2289"/>
      <c r="L627" s="2289"/>
      <c r="M627" s="2290"/>
      <c r="N627" s="2290"/>
      <c r="O627" s="2290"/>
      <c r="P627" s="2290"/>
      <c r="Q627" s="2289"/>
      <c r="R627" s="2289"/>
      <c r="S627" s="2289"/>
      <c r="T627" s="2291"/>
      <c r="U627" s="2289"/>
      <c r="V627" s="2289"/>
      <c r="W627" s="2289"/>
      <c r="X627" s="2292"/>
      <c r="Y627" s="2292"/>
      <c r="Z627" s="2289"/>
      <c r="AA627" s="2289"/>
      <c r="AB627" s="2289"/>
      <c r="AC627" s="2289"/>
      <c r="AD627" s="2293"/>
      <c r="AE627" s="2293"/>
      <c r="AF627" s="2293"/>
      <c r="AG627" s="2293"/>
      <c r="AH627" s="2289"/>
      <c r="AI627" s="2289"/>
      <c r="AJ627" s="2294"/>
      <c r="AK627" s="2294"/>
      <c r="AL627" s="2289"/>
      <c r="AM627" s="2289"/>
      <c r="AN627" s="2289"/>
      <c r="AO627" s="2289"/>
      <c r="AP627" s="2289"/>
      <c r="AQ627" s="2289"/>
      <c r="AR627" s="2294"/>
      <c r="AS627" s="2294"/>
      <c r="AT627" s="2295"/>
      <c r="AU627" s="2295"/>
      <c r="AV627" s="2295"/>
      <c r="AW627" s="2295"/>
      <c r="AX627" s="2296"/>
      <c r="AY627" s="2289"/>
      <c r="AZ627" s="2289"/>
      <c r="BA627" s="2289"/>
      <c r="BB627" s="2289"/>
      <c r="BC627" s="2289"/>
      <c r="BD627" s="2289"/>
      <c r="BE627" s="2289"/>
      <c r="BF627" s="2289"/>
      <c r="BG627" s="2289"/>
      <c r="BH627" s="2289"/>
      <c r="BI627" s="2289"/>
      <c r="BJ627" s="2289"/>
      <c r="BK627" s="2289"/>
      <c r="BL627" s="2289"/>
      <c r="BM627" s="2289"/>
      <c r="BN627" s="2289"/>
      <c r="BO627" s="2289"/>
      <c r="BP627" s="2289"/>
      <c r="BQ627" s="2289"/>
      <c r="BR627" s="2289"/>
    </row>
    <row r="628" spans="1:70" ht="15.75" customHeight="1">
      <c r="A628" s="2289"/>
      <c r="B628" s="2289"/>
      <c r="C628" s="2289"/>
      <c r="D628" s="2289"/>
      <c r="E628" s="2289"/>
      <c r="F628" s="2289"/>
      <c r="G628" s="2290"/>
      <c r="H628" s="2289"/>
      <c r="I628" s="2289"/>
      <c r="J628" s="2290"/>
      <c r="K628" s="2289"/>
      <c r="L628" s="2289"/>
      <c r="M628" s="2290"/>
      <c r="N628" s="2290"/>
      <c r="O628" s="2290"/>
      <c r="P628" s="2290"/>
      <c r="Q628" s="2289"/>
      <c r="R628" s="2289"/>
      <c r="S628" s="2289"/>
      <c r="T628" s="2291"/>
      <c r="U628" s="2289"/>
      <c r="V628" s="2289"/>
      <c r="W628" s="2289"/>
      <c r="X628" s="2292"/>
      <c r="Y628" s="2292"/>
      <c r="Z628" s="2289"/>
      <c r="AA628" s="2289"/>
      <c r="AB628" s="2289"/>
      <c r="AC628" s="2289"/>
      <c r="AD628" s="2293"/>
      <c r="AE628" s="2293"/>
      <c r="AF628" s="2293"/>
      <c r="AG628" s="2293"/>
      <c r="AH628" s="2289"/>
      <c r="AI628" s="2289"/>
      <c r="AJ628" s="2294"/>
      <c r="AK628" s="2294"/>
      <c r="AL628" s="2289"/>
      <c r="AM628" s="2289"/>
      <c r="AN628" s="2289"/>
      <c r="AO628" s="2289"/>
      <c r="AP628" s="2289"/>
      <c r="AQ628" s="2289"/>
      <c r="AR628" s="2294"/>
      <c r="AS628" s="2294"/>
      <c r="AT628" s="2295"/>
      <c r="AU628" s="2295"/>
      <c r="AV628" s="2295"/>
      <c r="AW628" s="2295"/>
      <c r="AX628" s="2296"/>
      <c r="AY628" s="2289"/>
      <c r="AZ628" s="2289"/>
      <c r="BA628" s="2289"/>
      <c r="BB628" s="2289"/>
      <c r="BC628" s="2289"/>
      <c r="BD628" s="2289"/>
      <c r="BE628" s="2289"/>
      <c r="BF628" s="2289"/>
      <c r="BG628" s="2289"/>
      <c r="BH628" s="2289"/>
      <c r="BI628" s="2289"/>
      <c r="BJ628" s="2289"/>
      <c r="BK628" s="2289"/>
      <c r="BL628" s="2289"/>
      <c r="BM628" s="2289"/>
      <c r="BN628" s="2289"/>
      <c r="BO628" s="2289"/>
      <c r="BP628" s="2289"/>
      <c r="BQ628" s="2289"/>
      <c r="BR628" s="2289"/>
    </row>
    <row r="629" spans="1:70" ht="15.75" customHeight="1">
      <c r="A629" s="2289"/>
      <c r="B629" s="2289"/>
      <c r="C629" s="2289"/>
      <c r="D629" s="2289"/>
      <c r="E629" s="2289"/>
      <c r="F629" s="2289"/>
      <c r="G629" s="2290"/>
      <c r="H629" s="2289"/>
      <c r="I629" s="2289"/>
      <c r="J629" s="2290"/>
      <c r="K629" s="2289"/>
      <c r="L629" s="2289"/>
      <c r="M629" s="2290"/>
      <c r="N629" s="2290"/>
      <c r="O629" s="2290"/>
      <c r="P629" s="2290"/>
      <c r="Q629" s="2289"/>
      <c r="R629" s="2289"/>
      <c r="S629" s="2289"/>
      <c r="T629" s="2291"/>
      <c r="U629" s="2289"/>
      <c r="V629" s="2289"/>
      <c r="W629" s="2289"/>
      <c r="X629" s="2292"/>
      <c r="Y629" s="2292"/>
      <c r="Z629" s="2289"/>
      <c r="AA629" s="2289"/>
      <c r="AB629" s="2289"/>
      <c r="AC629" s="2289"/>
      <c r="AD629" s="2293"/>
      <c r="AE629" s="2293"/>
      <c r="AF629" s="2293"/>
      <c r="AG629" s="2293"/>
      <c r="AH629" s="2289"/>
      <c r="AI629" s="2289"/>
      <c r="AJ629" s="2294"/>
      <c r="AK629" s="2294"/>
      <c r="AL629" s="2289"/>
      <c r="AM629" s="2289"/>
      <c r="AN629" s="2289"/>
      <c r="AO629" s="2289"/>
      <c r="AP629" s="2289"/>
      <c r="AQ629" s="2289"/>
      <c r="AR629" s="2294"/>
      <c r="AS629" s="2294"/>
      <c r="AT629" s="2295"/>
      <c r="AU629" s="2295"/>
      <c r="AV629" s="2295"/>
      <c r="AW629" s="2295"/>
      <c r="AX629" s="2296"/>
      <c r="AY629" s="2289"/>
      <c r="AZ629" s="2289"/>
      <c r="BA629" s="2289"/>
      <c r="BB629" s="2289"/>
      <c r="BC629" s="2289"/>
      <c r="BD629" s="2289"/>
      <c r="BE629" s="2289"/>
      <c r="BF629" s="2289"/>
      <c r="BG629" s="2289"/>
      <c r="BH629" s="2289"/>
      <c r="BI629" s="2289"/>
      <c r="BJ629" s="2289"/>
      <c r="BK629" s="2289"/>
      <c r="BL629" s="2289"/>
      <c r="BM629" s="2289"/>
      <c r="BN629" s="2289"/>
      <c r="BO629" s="2289"/>
      <c r="BP629" s="2289"/>
      <c r="BQ629" s="2289"/>
      <c r="BR629" s="2289"/>
    </row>
    <row r="630" spans="1:70" ht="15.75" customHeight="1">
      <c r="A630" s="2289"/>
      <c r="B630" s="2289"/>
      <c r="C630" s="2289"/>
      <c r="D630" s="2289"/>
      <c r="E630" s="2289"/>
      <c r="F630" s="2289"/>
      <c r="G630" s="2290"/>
      <c r="H630" s="2289"/>
      <c r="I630" s="2289"/>
      <c r="J630" s="2290"/>
      <c r="K630" s="2289"/>
      <c r="L630" s="2289"/>
      <c r="M630" s="2290"/>
      <c r="N630" s="2290"/>
      <c r="O630" s="2290"/>
      <c r="P630" s="2290"/>
      <c r="Q630" s="2289"/>
      <c r="R630" s="2289"/>
      <c r="S630" s="2289"/>
      <c r="T630" s="2291"/>
      <c r="U630" s="2289"/>
      <c r="V630" s="2289"/>
      <c r="W630" s="2289"/>
      <c r="X630" s="2292"/>
      <c r="Y630" s="2292"/>
      <c r="Z630" s="2289"/>
      <c r="AA630" s="2289"/>
      <c r="AB630" s="2289"/>
      <c r="AC630" s="2289"/>
      <c r="AD630" s="2293"/>
      <c r="AE630" s="2293"/>
      <c r="AF630" s="2293"/>
      <c r="AG630" s="2293"/>
      <c r="AH630" s="2289"/>
      <c r="AI630" s="2289"/>
      <c r="AJ630" s="2294"/>
      <c r="AK630" s="2294"/>
      <c r="AL630" s="2289"/>
      <c r="AM630" s="2289"/>
      <c r="AN630" s="2289"/>
      <c r="AO630" s="2289"/>
      <c r="AP630" s="2289"/>
      <c r="AQ630" s="2289"/>
      <c r="AR630" s="2294"/>
      <c r="AS630" s="2294"/>
      <c r="AT630" s="2295"/>
      <c r="AU630" s="2295"/>
      <c r="AV630" s="2295"/>
      <c r="AW630" s="2295"/>
      <c r="AX630" s="2296"/>
      <c r="AY630" s="2289"/>
      <c r="AZ630" s="2289"/>
      <c r="BA630" s="2289"/>
      <c r="BB630" s="2289"/>
      <c r="BC630" s="2289"/>
      <c r="BD630" s="2289"/>
      <c r="BE630" s="2289"/>
      <c r="BF630" s="2289"/>
      <c r="BG630" s="2289"/>
      <c r="BH630" s="2289"/>
      <c r="BI630" s="2289"/>
      <c r="BJ630" s="2289"/>
      <c r="BK630" s="2289"/>
      <c r="BL630" s="2289"/>
      <c r="BM630" s="2289"/>
      <c r="BN630" s="2289"/>
      <c r="BO630" s="2289"/>
      <c r="BP630" s="2289"/>
      <c r="BQ630" s="2289"/>
      <c r="BR630" s="2289"/>
    </row>
    <row r="631" spans="1:70" ht="15.75" customHeight="1">
      <c r="A631" s="2289"/>
      <c r="B631" s="2289"/>
      <c r="C631" s="2289"/>
      <c r="D631" s="2289"/>
      <c r="E631" s="2289"/>
      <c r="F631" s="2289"/>
      <c r="G631" s="2290"/>
      <c r="H631" s="2289"/>
      <c r="I631" s="2289"/>
      <c r="J631" s="2290"/>
      <c r="K631" s="2289"/>
      <c r="L631" s="2289"/>
      <c r="M631" s="2290"/>
      <c r="N631" s="2290"/>
      <c r="O631" s="2290"/>
      <c r="P631" s="2290"/>
      <c r="Q631" s="2289"/>
      <c r="R631" s="2289"/>
      <c r="S631" s="2289"/>
      <c r="T631" s="2291"/>
      <c r="U631" s="2289"/>
      <c r="V631" s="2289"/>
      <c r="W631" s="2289"/>
      <c r="X631" s="2292"/>
      <c r="Y631" s="2292"/>
      <c r="Z631" s="2289"/>
      <c r="AA631" s="2289"/>
      <c r="AB631" s="2289"/>
      <c r="AC631" s="2289"/>
      <c r="AD631" s="2293"/>
      <c r="AE631" s="2293"/>
      <c r="AF631" s="2293"/>
      <c r="AG631" s="2293"/>
      <c r="AH631" s="2289"/>
      <c r="AI631" s="2289"/>
      <c r="AJ631" s="2294"/>
      <c r="AK631" s="2294"/>
      <c r="AL631" s="2289"/>
      <c r="AM631" s="2289"/>
      <c r="AN631" s="2289"/>
      <c r="AO631" s="2289"/>
      <c r="AP631" s="2289"/>
      <c r="AQ631" s="2289"/>
      <c r="AR631" s="2294"/>
      <c r="AS631" s="2294"/>
      <c r="AT631" s="2295"/>
      <c r="AU631" s="2295"/>
      <c r="AV631" s="2295"/>
      <c r="AW631" s="2295"/>
      <c r="AX631" s="2296"/>
      <c r="AY631" s="2289"/>
      <c r="AZ631" s="2289"/>
      <c r="BA631" s="2289"/>
      <c r="BB631" s="2289"/>
      <c r="BC631" s="2289"/>
      <c r="BD631" s="2289"/>
      <c r="BE631" s="2289"/>
      <c r="BF631" s="2289"/>
      <c r="BG631" s="2289"/>
      <c r="BH631" s="2289"/>
      <c r="BI631" s="2289"/>
      <c r="BJ631" s="2289"/>
      <c r="BK631" s="2289"/>
      <c r="BL631" s="2289"/>
      <c r="BM631" s="2289"/>
      <c r="BN631" s="2289"/>
      <c r="BO631" s="2289"/>
      <c r="BP631" s="2289"/>
      <c r="BQ631" s="2289"/>
      <c r="BR631" s="2289"/>
    </row>
    <row r="632" spans="1:70" ht="15.75" customHeight="1">
      <c r="A632" s="2289"/>
      <c r="B632" s="2289"/>
      <c r="C632" s="2289"/>
      <c r="D632" s="2289"/>
      <c r="E632" s="2289"/>
      <c r="F632" s="2289"/>
      <c r="G632" s="2290"/>
      <c r="H632" s="2289"/>
      <c r="I632" s="2289"/>
      <c r="J632" s="2290"/>
      <c r="K632" s="2289"/>
      <c r="L632" s="2289"/>
      <c r="M632" s="2290"/>
      <c r="N632" s="2290"/>
      <c r="O632" s="2290"/>
      <c r="P632" s="2290"/>
      <c r="Q632" s="2289"/>
      <c r="R632" s="2289"/>
      <c r="S632" s="2289"/>
      <c r="T632" s="2291"/>
      <c r="U632" s="2289"/>
      <c r="V632" s="2289"/>
      <c r="W632" s="2289"/>
      <c r="X632" s="2292"/>
      <c r="Y632" s="2292"/>
      <c r="Z632" s="2289"/>
      <c r="AA632" s="2289"/>
      <c r="AB632" s="2289"/>
      <c r="AC632" s="2289"/>
      <c r="AD632" s="2293"/>
      <c r="AE632" s="2293"/>
      <c r="AF632" s="2293"/>
      <c r="AG632" s="2293"/>
      <c r="AH632" s="2289"/>
      <c r="AI632" s="2289"/>
      <c r="AJ632" s="2294"/>
      <c r="AK632" s="2294"/>
      <c r="AL632" s="2289"/>
      <c r="AM632" s="2289"/>
      <c r="AN632" s="2289"/>
      <c r="AO632" s="2289"/>
      <c r="AP632" s="2289"/>
      <c r="AQ632" s="2289"/>
      <c r="AR632" s="2294"/>
      <c r="AS632" s="2294"/>
      <c r="AT632" s="2295"/>
      <c r="AU632" s="2295"/>
      <c r="AV632" s="2295"/>
      <c r="AW632" s="2295"/>
      <c r="AX632" s="2296"/>
      <c r="AY632" s="2289"/>
      <c r="AZ632" s="2289"/>
      <c r="BA632" s="2289"/>
      <c r="BB632" s="2289"/>
      <c r="BC632" s="2289"/>
      <c r="BD632" s="2289"/>
      <c r="BE632" s="2289"/>
      <c r="BF632" s="2289"/>
      <c r="BG632" s="2289"/>
      <c r="BH632" s="2289"/>
      <c r="BI632" s="2289"/>
      <c r="BJ632" s="2289"/>
      <c r="BK632" s="2289"/>
      <c r="BL632" s="2289"/>
      <c r="BM632" s="2289"/>
      <c r="BN632" s="2289"/>
      <c r="BO632" s="2289"/>
      <c r="BP632" s="2289"/>
      <c r="BQ632" s="2289"/>
      <c r="BR632" s="2289"/>
    </row>
    <row r="633" spans="1:70" ht="15.75" customHeight="1">
      <c r="A633" s="2289"/>
      <c r="B633" s="2289"/>
      <c r="C633" s="2289"/>
      <c r="D633" s="2289"/>
      <c r="E633" s="2289"/>
      <c r="F633" s="2289"/>
      <c r="G633" s="2290"/>
      <c r="H633" s="2289"/>
      <c r="I633" s="2289"/>
      <c r="J633" s="2290"/>
      <c r="K633" s="2289"/>
      <c r="L633" s="2289"/>
      <c r="M633" s="2290"/>
      <c r="N633" s="2290"/>
      <c r="O633" s="2290"/>
      <c r="P633" s="2290"/>
      <c r="Q633" s="2289"/>
      <c r="R633" s="2289"/>
      <c r="S633" s="2289"/>
      <c r="T633" s="2291"/>
      <c r="U633" s="2289"/>
      <c r="V633" s="2289"/>
      <c r="W633" s="2289"/>
      <c r="X633" s="2292"/>
      <c r="Y633" s="2292"/>
      <c r="Z633" s="2289"/>
      <c r="AA633" s="2289"/>
      <c r="AB633" s="2289"/>
      <c r="AC633" s="2289"/>
      <c r="AD633" s="2293"/>
      <c r="AE633" s="2293"/>
      <c r="AF633" s="2293"/>
      <c r="AG633" s="2293"/>
      <c r="AH633" s="2289"/>
      <c r="AI633" s="2289"/>
      <c r="AJ633" s="2294"/>
      <c r="AK633" s="2294"/>
      <c r="AL633" s="2289"/>
      <c r="AM633" s="2289"/>
      <c r="AN633" s="2289"/>
      <c r="AO633" s="2289"/>
      <c r="AP633" s="2289"/>
      <c r="AQ633" s="2289"/>
      <c r="AR633" s="2294"/>
      <c r="AS633" s="2294"/>
      <c r="AT633" s="2295"/>
      <c r="AU633" s="2295"/>
      <c r="AV633" s="2295"/>
      <c r="AW633" s="2295"/>
      <c r="AX633" s="2296"/>
      <c r="AY633" s="2289"/>
      <c r="AZ633" s="2289"/>
      <c r="BA633" s="2289"/>
      <c r="BB633" s="2289"/>
      <c r="BC633" s="2289"/>
      <c r="BD633" s="2289"/>
      <c r="BE633" s="2289"/>
      <c r="BF633" s="2289"/>
      <c r="BG633" s="2289"/>
      <c r="BH633" s="2289"/>
      <c r="BI633" s="2289"/>
      <c r="BJ633" s="2289"/>
      <c r="BK633" s="2289"/>
      <c r="BL633" s="2289"/>
      <c r="BM633" s="2289"/>
      <c r="BN633" s="2289"/>
      <c r="BO633" s="2289"/>
      <c r="BP633" s="2289"/>
      <c r="BQ633" s="2289"/>
      <c r="BR633" s="2289"/>
    </row>
    <row r="634" spans="1:70" ht="15.75" customHeight="1">
      <c r="A634" s="2289"/>
      <c r="B634" s="2289"/>
      <c r="C634" s="2289"/>
      <c r="D634" s="2289"/>
      <c r="E634" s="2289"/>
      <c r="F634" s="2289"/>
      <c r="G634" s="2290"/>
      <c r="H634" s="2289"/>
      <c r="I634" s="2289"/>
      <c r="J634" s="2290"/>
      <c r="K634" s="2289"/>
      <c r="L634" s="2289"/>
      <c r="M634" s="2290"/>
      <c r="N634" s="2290"/>
      <c r="O634" s="2290"/>
      <c r="P634" s="2290"/>
      <c r="Q634" s="2289"/>
      <c r="R634" s="2289"/>
      <c r="S634" s="2289"/>
      <c r="T634" s="2291"/>
      <c r="U634" s="2289"/>
      <c r="V634" s="2289"/>
      <c r="W634" s="2289"/>
      <c r="X634" s="2292"/>
      <c r="Y634" s="2292"/>
      <c r="Z634" s="2289"/>
      <c r="AA634" s="2289"/>
      <c r="AB634" s="2289"/>
      <c r="AC634" s="2289"/>
      <c r="AD634" s="2293"/>
      <c r="AE634" s="2293"/>
      <c r="AF634" s="2293"/>
      <c r="AG634" s="2293"/>
      <c r="AH634" s="2289"/>
      <c r="AI634" s="2289"/>
      <c r="AJ634" s="2294"/>
      <c r="AK634" s="2294"/>
      <c r="AL634" s="2289"/>
      <c r="AM634" s="2289"/>
      <c r="AN634" s="2289"/>
      <c r="AO634" s="2289"/>
      <c r="AP634" s="2289"/>
      <c r="AQ634" s="2289"/>
      <c r="AR634" s="2294"/>
      <c r="AS634" s="2294"/>
      <c r="AT634" s="2295"/>
      <c r="AU634" s="2295"/>
      <c r="AV634" s="2295"/>
      <c r="AW634" s="2295"/>
      <c r="AX634" s="2296"/>
      <c r="AY634" s="2289"/>
      <c r="AZ634" s="2289"/>
      <c r="BA634" s="2289"/>
      <c r="BB634" s="2289"/>
      <c r="BC634" s="2289"/>
      <c r="BD634" s="2289"/>
      <c r="BE634" s="2289"/>
      <c r="BF634" s="2289"/>
      <c r="BG634" s="2289"/>
      <c r="BH634" s="2289"/>
      <c r="BI634" s="2289"/>
      <c r="BJ634" s="2289"/>
      <c r="BK634" s="2289"/>
      <c r="BL634" s="2289"/>
      <c r="BM634" s="2289"/>
      <c r="BN634" s="2289"/>
      <c r="BO634" s="2289"/>
      <c r="BP634" s="2289"/>
      <c r="BQ634" s="2289"/>
      <c r="BR634" s="2289"/>
    </row>
    <row r="635" spans="1:70" ht="15.75" customHeight="1">
      <c r="A635" s="2289"/>
      <c r="B635" s="2289"/>
      <c r="C635" s="2289"/>
      <c r="D635" s="2289"/>
      <c r="E635" s="2289"/>
      <c r="F635" s="2289"/>
      <c r="G635" s="2290"/>
      <c r="H635" s="2289"/>
      <c r="I635" s="2289"/>
      <c r="J635" s="2290"/>
      <c r="K635" s="2289"/>
      <c r="L635" s="2289"/>
      <c r="M635" s="2290"/>
      <c r="N635" s="2290"/>
      <c r="O635" s="2290"/>
      <c r="P635" s="2290"/>
      <c r="Q635" s="2289"/>
      <c r="R635" s="2289"/>
      <c r="S635" s="2289"/>
      <c r="T635" s="2291"/>
      <c r="U635" s="2289"/>
      <c r="V635" s="2289"/>
      <c r="W635" s="2289"/>
      <c r="X635" s="2292"/>
      <c r="Y635" s="2292"/>
      <c r="Z635" s="2289"/>
      <c r="AA635" s="2289"/>
      <c r="AB635" s="2289"/>
      <c r="AC635" s="2289"/>
      <c r="AD635" s="2293"/>
      <c r="AE635" s="2293"/>
      <c r="AF635" s="2293"/>
      <c r="AG635" s="2293"/>
      <c r="AH635" s="2289"/>
      <c r="AI635" s="2289"/>
      <c r="AJ635" s="2294"/>
      <c r="AK635" s="2294"/>
      <c r="AL635" s="2289"/>
      <c r="AM635" s="2289"/>
      <c r="AN635" s="2289"/>
      <c r="AO635" s="2289"/>
      <c r="AP635" s="2289"/>
      <c r="AQ635" s="2289"/>
      <c r="AR635" s="2294"/>
      <c r="AS635" s="2294"/>
      <c r="AT635" s="2295"/>
      <c r="AU635" s="2295"/>
      <c r="AV635" s="2295"/>
      <c r="AW635" s="2295"/>
      <c r="AX635" s="2296"/>
      <c r="AY635" s="2289"/>
      <c r="AZ635" s="2289"/>
      <c r="BA635" s="2289"/>
      <c r="BB635" s="2289"/>
      <c r="BC635" s="2289"/>
      <c r="BD635" s="2289"/>
      <c r="BE635" s="2289"/>
      <c r="BF635" s="2289"/>
      <c r="BG635" s="2289"/>
      <c r="BH635" s="2289"/>
      <c r="BI635" s="2289"/>
      <c r="BJ635" s="2289"/>
      <c r="BK635" s="2289"/>
      <c r="BL635" s="2289"/>
      <c r="BM635" s="2289"/>
      <c r="BN635" s="2289"/>
      <c r="BO635" s="2289"/>
      <c r="BP635" s="2289"/>
      <c r="BQ635" s="2289"/>
      <c r="BR635" s="2289"/>
    </row>
    <row r="636" spans="1:70" ht="15.75" customHeight="1">
      <c r="A636" s="2289"/>
      <c r="B636" s="2289"/>
      <c r="C636" s="2289"/>
      <c r="D636" s="2289"/>
      <c r="E636" s="2289"/>
      <c r="F636" s="2289"/>
      <c r="G636" s="2290"/>
      <c r="H636" s="2289"/>
      <c r="I636" s="2289"/>
      <c r="J636" s="2290"/>
      <c r="K636" s="2289"/>
      <c r="L636" s="2289"/>
      <c r="M636" s="2290"/>
      <c r="N636" s="2290"/>
      <c r="O636" s="2290"/>
      <c r="P636" s="2290"/>
      <c r="Q636" s="2289"/>
      <c r="R636" s="2289"/>
      <c r="S636" s="2289"/>
      <c r="T636" s="2291"/>
      <c r="U636" s="2289"/>
      <c r="V636" s="2289"/>
      <c r="W636" s="2289"/>
      <c r="X636" s="2292"/>
      <c r="Y636" s="2292"/>
      <c r="Z636" s="2289"/>
      <c r="AA636" s="2289"/>
      <c r="AB636" s="2289"/>
      <c r="AC636" s="2289"/>
      <c r="AD636" s="2293"/>
      <c r="AE636" s="2293"/>
      <c r="AF636" s="2293"/>
      <c r="AG636" s="2293"/>
      <c r="AH636" s="2289"/>
      <c r="AI636" s="2289"/>
      <c r="AJ636" s="2294"/>
      <c r="AK636" s="2294"/>
      <c r="AL636" s="2289"/>
      <c r="AM636" s="2289"/>
      <c r="AN636" s="2289"/>
      <c r="AO636" s="2289"/>
      <c r="AP636" s="2289"/>
      <c r="AQ636" s="2289"/>
      <c r="AR636" s="2294"/>
      <c r="AS636" s="2294"/>
      <c r="AT636" s="2295"/>
      <c r="AU636" s="2295"/>
      <c r="AV636" s="2295"/>
      <c r="AW636" s="2295"/>
      <c r="AX636" s="2296"/>
      <c r="AY636" s="2289"/>
      <c r="AZ636" s="2289"/>
      <c r="BA636" s="2289"/>
      <c r="BB636" s="2289"/>
      <c r="BC636" s="2289"/>
      <c r="BD636" s="2289"/>
      <c r="BE636" s="2289"/>
      <c r="BF636" s="2289"/>
      <c r="BG636" s="2289"/>
      <c r="BH636" s="2289"/>
      <c r="BI636" s="2289"/>
      <c r="BJ636" s="2289"/>
      <c r="BK636" s="2289"/>
      <c r="BL636" s="2289"/>
      <c r="BM636" s="2289"/>
      <c r="BN636" s="2289"/>
      <c r="BO636" s="2289"/>
      <c r="BP636" s="2289"/>
      <c r="BQ636" s="2289"/>
      <c r="BR636" s="2289"/>
    </row>
    <row r="637" spans="1:70" ht="15.75" customHeight="1">
      <c r="A637" s="2289"/>
      <c r="B637" s="2289"/>
      <c r="C637" s="2289"/>
      <c r="D637" s="2289"/>
      <c r="E637" s="2289"/>
      <c r="F637" s="2289"/>
      <c r="G637" s="2290"/>
      <c r="H637" s="2289"/>
      <c r="I637" s="2289"/>
      <c r="J637" s="2290"/>
      <c r="K637" s="2289"/>
      <c r="L637" s="2289"/>
      <c r="M637" s="2290"/>
      <c r="N637" s="2290"/>
      <c r="O637" s="2290"/>
      <c r="P637" s="2290"/>
      <c r="Q637" s="2289"/>
      <c r="R637" s="2289"/>
      <c r="S637" s="2289"/>
      <c r="T637" s="2291"/>
      <c r="U637" s="2289"/>
      <c r="V637" s="2289"/>
      <c r="W637" s="2289"/>
      <c r="X637" s="2292"/>
      <c r="Y637" s="2292"/>
      <c r="Z637" s="2289"/>
      <c r="AA637" s="2289"/>
      <c r="AB637" s="2289"/>
      <c r="AC637" s="2289"/>
      <c r="AD637" s="2293"/>
      <c r="AE637" s="2293"/>
      <c r="AF637" s="2293"/>
      <c r="AG637" s="2293"/>
      <c r="AH637" s="2289"/>
      <c r="AI637" s="2289"/>
      <c r="AJ637" s="2294"/>
      <c r="AK637" s="2294"/>
      <c r="AL637" s="2289"/>
      <c r="AM637" s="2289"/>
      <c r="AN637" s="2289"/>
      <c r="AO637" s="2289"/>
      <c r="AP637" s="2289"/>
      <c r="AQ637" s="2289"/>
      <c r="AR637" s="2294"/>
      <c r="AS637" s="2294"/>
      <c r="AT637" s="2295"/>
      <c r="AU637" s="2295"/>
      <c r="AV637" s="2295"/>
      <c r="AW637" s="2295"/>
      <c r="AX637" s="2296"/>
      <c r="AY637" s="2289"/>
      <c r="AZ637" s="2289"/>
      <c r="BA637" s="2289"/>
      <c r="BB637" s="2289"/>
      <c r="BC637" s="2289"/>
      <c r="BD637" s="2289"/>
      <c r="BE637" s="2289"/>
      <c r="BF637" s="2289"/>
      <c r="BG637" s="2289"/>
      <c r="BH637" s="2289"/>
      <c r="BI637" s="2289"/>
      <c r="BJ637" s="2289"/>
      <c r="BK637" s="2289"/>
      <c r="BL637" s="2289"/>
      <c r="BM637" s="2289"/>
      <c r="BN637" s="2289"/>
      <c r="BO637" s="2289"/>
      <c r="BP637" s="2289"/>
      <c r="BQ637" s="2289"/>
      <c r="BR637" s="2289"/>
    </row>
    <row r="638" spans="1:70" ht="15.75" customHeight="1">
      <c r="A638" s="2289"/>
      <c r="B638" s="2289"/>
      <c r="C638" s="2289"/>
      <c r="D638" s="2289"/>
      <c r="E638" s="2289"/>
      <c r="F638" s="2289"/>
      <c r="G638" s="2290"/>
      <c r="H638" s="2289"/>
      <c r="I638" s="2289"/>
      <c r="J638" s="2290"/>
      <c r="K638" s="2289"/>
      <c r="L638" s="2289"/>
      <c r="M638" s="2290"/>
      <c r="N638" s="2290"/>
      <c r="O638" s="2290"/>
      <c r="P638" s="2290"/>
      <c r="Q638" s="2289"/>
      <c r="R638" s="2289"/>
      <c r="S638" s="2289"/>
      <c r="T638" s="2291"/>
      <c r="U638" s="2289"/>
      <c r="V638" s="2289"/>
      <c r="W638" s="2289"/>
      <c r="X638" s="2292"/>
      <c r="Y638" s="2292"/>
      <c r="Z638" s="2289"/>
      <c r="AA638" s="2289"/>
      <c r="AB638" s="2289"/>
      <c r="AC638" s="2289"/>
      <c r="AD638" s="2293"/>
      <c r="AE638" s="2293"/>
      <c r="AF638" s="2293"/>
      <c r="AG638" s="2293"/>
      <c r="AH638" s="2289"/>
      <c r="AI638" s="2289"/>
      <c r="AJ638" s="2294"/>
      <c r="AK638" s="2294"/>
      <c r="AL638" s="2289"/>
      <c r="AM638" s="2289"/>
      <c r="AN638" s="2289"/>
      <c r="AO638" s="2289"/>
      <c r="AP638" s="2289"/>
      <c r="AQ638" s="2289"/>
      <c r="AR638" s="2294"/>
      <c r="AS638" s="2294"/>
      <c r="AT638" s="2295"/>
      <c r="AU638" s="2295"/>
      <c r="AV638" s="2295"/>
      <c r="AW638" s="2295"/>
      <c r="AX638" s="2296"/>
      <c r="AY638" s="2289"/>
      <c r="AZ638" s="2289"/>
      <c r="BA638" s="2289"/>
      <c r="BB638" s="2289"/>
      <c r="BC638" s="2289"/>
      <c r="BD638" s="2289"/>
      <c r="BE638" s="2289"/>
      <c r="BF638" s="2289"/>
      <c r="BG638" s="2289"/>
      <c r="BH638" s="2289"/>
      <c r="BI638" s="2289"/>
      <c r="BJ638" s="2289"/>
      <c r="BK638" s="2289"/>
      <c r="BL638" s="2289"/>
      <c r="BM638" s="2289"/>
      <c r="BN638" s="2289"/>
      <c r="BO638" s="2289"/>
      <c r="BP638" s="2289"/>
      <c r="BQ638" s="2289"/>
      <c r="BR638" s="2289"/>
    </row>
    <row r="639" spans="1:70" ht="15.75" customHeight="1">
      <c r="A639" s="2289"/>
      <c r="B639" s="2289"/>
      <c r="C639" s="2289"/>
      <c r="D639" s="2289"/>
      <c r="E639" s="2289"/>
      <c r="F639" s="2289"/>
      <c r="G639" s="2290"/>
      <c r="H639" s="2289"/>
      <c r="I639" s="2289"/>
      <c r="J639" s="2290"/>
      <c r="K639" s="2289"/>
      <c r="L639" s="2289"/>
      <c r="M639" s="2290"/>
      <c r="N639" s="2290"/>
      <c r="O639" s="2290"/>
      <c r="P639" s="2290"/>
      <c r="Q639" s="2289"/>
      <c r="R639" s="2289"/>
      <c r="S639" s="2289"/>
      <c r="T639" s="2291"/>
      <c r="U639" s="2289"/>
      <c r="V639" s="2289"/>
      <c r="W639" s="2289"/>
      <c r="X639" s="2292"/>
      <c r="Y639" s="2292"/>
      <c r="Z639" s="2289"/>
      <c r="AA639" s="2289"/>
      <c r="AB639" s="2289"/>
      <c r="AC639" s="2289"/>
      <c r="AD639" s="2293"/>
      <c r="AE639" s="2293"/>
      <c r="AF639" s="2293"/>
      <c r="AG639" s="2293"/>
      <c r="AH639" s="2289"/>
      <c r="AI639" s="2289"/>
      <c r="AJ639" s="2294"/>
      <c r="AK639" s="2294"/>
      <c r="AL639" s="2289"/>
      <c r="AM639" s="2289"/>
      <c r="AN639" s="2289"/>
      <c r="AO639" s="2289"/>
      <c r="AP639" s="2289"/>
      <c r="AQ639" s="2289"/>
      <c r="AR639" s="2294"/>
      <c r="AS639" s="2294"/>
      <c r="AT639" s="2295"/>
      <c r="AU639" s="2295"/>
      <c r="AV639" s="2295"/>
      <c r="AW639" s="2295"/>
      <c r="AX639" s="2296"/>
      <c r="AY639" s="2289"/>
      <c r="AZ639" s="2289"/>
      <c r="BA639" s="2289"/>
      <c r="BB639" s="2289"/>
      <c r="BC639" s="2289"/>
      <c r="BD639" s="2289"/>
      <c r="BE639" s="2289"/>
      <c r="BF639" s="2289"/>
      <c r="BG639" s="2289"/>
      <c r="BH639" s="2289"/>
      <c r="BI639" s="2289"/>
      <c r="BJ639" s="2289"/>
      <c r="BK639" s="2289"/>
      <c r="BL639" s="2289"/>
      <c r="BM639" s="2289"/>
      <c r="BN639" s="2289"/>
      <c r="BO639" s="2289"/>
      <c r="BP639" s="2289"/>
      <c r="BQ639" s="2289"/>
      <c r="BR639" s="2289"/>
    </row>
    <row r="640" spans="1:70" ht="15.75" customHeight="1">
      <c r="A640" s="2289"/>
      <c r="B640" s="2289"/>
      <c r="C640" s="2289"/>
      <c r="D640" s="2289"/>
      <c r="E640" s="2289"/>
      <c r="F640" s="2289"/>
      <c r="G640" s="2290"/>
      <c r="H640" s="2289"/>
      <c r="I640" s="2289"/>
      <c r="J640" s="2290"/>
      <c r="K640" s="2289"/>
      <c r="L640" s="2289"/>
      <c r="M640" s="2290"/>
      <c r="N640" s="2290"/>
      <c r="O640" s="2290"/>
      <c r="P640" s="2290"/>
      <c r="Q640" s="2289"/>
      <c r="R640" s="2289"/>
      <c r="S640" s="2289"/>
      <c r="T640" s="2291"/>
      <c r="U640" s="2289"/>
      <c r="V640" s="2289"/>
      <c r="W640" s="2289"/>
      <c r="X640" s="2292"/>
      <c r="Y640" s="2292"/>
      <c r="Z640" s="2289"/>
      <c r="AA640" s="2289"/>
      <c r="AB640" s="2289"/>
      <c r="AC640" s="2289"/>
      <c r="AD640" s="2293"/>
      <c r="AE640" s="2293"/>
      <c r="AF640" s="2293"/>
      <c r="AG640" s="2293"/>
      <c r="AH640" s="2289"/>
      <c r="AI640" s="2289"/>
      <c r="AJ640" s="2294"/>
      <c r="AK640" s="2294"/>
      <c r="AL640" s="2289"/>
      <c r="AM640" s="2289"/>
      <c r="AN640" s="2289"/>
      <c r="AO640" s="2289"/>
      <c r="AP640" s="2289"/>
      <c r="AQ640" s="2289"/>
      <c r="AR640" s="2294"/>
      <c r="AS640" s="2294"/>
      <c r="AT640" s="2295"/>
      <c r="AU640" s="2295"/>
      <c r="AV640" s="2295"/>
      <c r="AW640" s="2295"/>
      <c r="AX640" s="2296"/>
      <c r="AY640" s="2289"/>
      <c r="AZ640" s="2289"/>
      <c r="BA640" s="2289"/>
      <c r="BB640" s="2289"/>
      <c r="BC640" s="2289"/>
      <c r="BD640" s="2289"/>
      <c r="BE640" s="2289"/>
      <c r="BF640" s="2289"/>
      <c r="BG640" s="2289"/>
      <c r="BH640" s="2289"/>
      <c r="BI640" s="2289"/>
      <c r="BJ640" s="2289"/>
      <c r="BK640" s="2289"/>
      <c r="BL640" s="2289"/>
      <c r="BM640" s="2289"/>
      <c r="BN640" s="2289"/>
      <c r="BO640" s="2289"/>
      <c r="BP640" s="2289"/>
      <c r="BQ640" s="2289"/>
      <c r="BR640" s="2289"/>
    </row>
    <row r="641" spans="1:70" ht="15.75" customHeight="1">
      <c r="A641" s="2289"/>
      <c r="B641" s="2289"/>
      <c r="C641" s="2289"/>
      <c r="D641" s="2289"/>
      <c r="E641" s="2289"/>
      <c r="F641" s="2289"/>
      <c r="G641" s="2290"/>
      <c r="H641" s="2289"/>
      <c r="I641" s="2289"/>
      <c r="J641" s="2290"/>
      <c r="K641" s="2289"/>
      <c r="L641" s="2289"/>
      <c r="M641" s="2290"/>
      <c r="N641" s="2290"/>
      <c r="O641" s="2290"/>
      <c r="P641" s="2290"/>
      <c r="Q641" s="2289"/>
      <c r="R641" s="2289"/>
      <c r="S641" s="2289"/>
      <c r="T641" s="2291"/>
      <c r="U641" s="2289"/>
      <c r="V641" s="2289"/>
      <c r="W641" s="2289"/>
      <c r="X641" s="2292"/>
      <c r="Y641" s="2292"/>
      <c r="Z641" s="2289"/>
      <c r="AA641" s="2289"/>
      <c r="AB641" s="2289"/>
      <c r="AC641" s="2289"/>
      <c r="AD641" s="2293"/>
      <c r="AE641" s="2293"/>
      <c r="AF641" s="2293"/>
      <c r="AG641" s="2293"/>
      <c r="AH641" s="2289"/>
      <c r="AI641" s="2289"/>
      <c r="AJ641" s="2294"/>
      <c r="AK641" s="2294"/>
      <c r="AL641" s="2289"/>
      <c r="AM641" s="2289"/>
      <c r="AN641" s="2289"/>
      <c r="AO641" s="2289"/>
      <c r="AP641" s="2289"/>
      <c r="AQ641" s="2289"/>
      <c r="AR641" s="2294"/>
      <c r="AS641" s="2294"/>
      <c r="AT641" s="2295"/>
      <c r="AU641" s="2295"/>
      <c r="AV641" s="2295"/>
      <c r="AW641" s="2295"/>
      <c r="AX641" s="2296"/>
      <c r="AY641" s="2289"/>
      <c r="AZ641" s="2289"/>
      <c r="BA641" s="2289"/>
      <c r="BB641" s="2289"/>
      <c r="BC641" s="2289"/>
      <c r="BD641" s="2289"/>
      <c r="BE641" s="2289"/>
      <c r="BF641" s="2289"/>
      <c r="BG641" s="2289"/>
      <c r="BH641" s="2289"/>
      <c r="BI641" s="2289"/>
      <c r="BJ641" s="2289"/>
      <c r="BK641" s="2289"/>
      <c r="BL641" s="2289"/>
      <c r="BM641" s="2289"/>
      <c r="BN641" s="2289"/>
      <c r="BO641" s="2289"/>
      <c r="BP641" s="2289"/>
      <c r="BQ641" s="2289"/>
      <c r="BR641" s="2289"/>
    </row>
    <row r="642" spans="1:70" ht="15.75" customHeight="1">
      <c r="A642" s="2289"/>
      <c r="B642" s="2289"/>
      <c r="C642" s="2289"/>
      <c r="D642" s="2289"/>
      <c r="E642" s="2289"/>
      <c r="F642" s="2289"/>
      <c r="G642" s="2290"/>
      <c r="H642" s="2289"/>
      <c r="I642" s="2289"/>
      <c r="J642" s="2290"/>
      <c r="K642" s="2289"/>
      <c r="L642" s="2289"/>
      <c r="M642" s="2290"/>
      <c r="N642" s="2290"/>
      <c r="O642" s="2290"/>
      <c r="P642" s="2290"/>
      <c r="Q642" s="2289"/>
      <c r="R642" s="2289"/>
      <c r="S642" s="2289"/>
      <c r="T642" s="2291"/>
      <c r="U642" s="2289"/>
      <c r="V642" s="2289"/>
      <c r="W642" s="2289"/>
      <c r="X642" s="2292"/>
      <c r="Y642" s="2292"/>
      <c r="Z642" s="2289"/>
      <c r="AA642" s="2289"/>
      <c r="AB642" s="2289"/>
      <c r="AC642" s="2289"/>
      <c r="AD642" s="2293"/>
      <c r="AE642" s="2293"/>
      <c r="AF642" s="2293"/>
      <c r="AG642" s="2293"/>
      <c r="AH642" s="2289"/>
      <c r="AI642" s="2289"/>
      <c r="AJ642" s="2294"/>
      <c r="AK642" s="2294"/>
      <c r="AL642" s="2289"/>
      <c r="AM642" s="2289"/>
      <c r="AN642" s="2289"/>
      <c r="AO642" s="2289"/>
      <c r="AP642" s="2289"/>
      <c r="AQ642" s="2289"/>
      <c r="AR642" s="2294"/>
      <c r="AS642" s="2294"/>
      <c r="AT642" s="2295"/>
      <c r="AU642" s="2295"/>
      <c r="AV642" s="2295"/>
      <c r="AW642" s="2295"/>
      <c r="AX642" s="2296"/>
      <c r="AY642" s="2289"/>
      <c r="AZ642" s="2289"/>
      <c r="BA642" s="2289"/>
      <c r="BB642" s="2289"/>
      <c r="BC642" s="2289"/>
      <c r="BD642" s="2289"/>
      <c r="BE642" s="2289"/>
      <c r="BF642" s="2289"/>
      <c r="BG642" s="2289"/>
      <c r="BH642" s="2289"/>
      <c r="BI642" s="2289"/>
      <c r="BJ642" s="2289"/>
      <c r="BK642" s="2289"/>
      <c r="BL642" s="2289"/>
      <c r="BM642" s="2289"/>
      <c r="BN642" s="2289"/>
      <c r="BO642" s="2289"/>
      <c r="BP642" s="2289"/>
      <c r="BQ642" s="2289"/>
      <c r="BR642" s="2289"/>
    </row>
    <row r="643" spans="1:70" ht="15.75" customHeight="1">
      <c r="A643" s="2289"/>
      <c r="B643" s="2289"/>
      <c r="C643" s="2289"/>
      <c r="D643" s="2289"/>
      <c r="E643" s="2289"/>
      <c r="F643" s="2289"/>
      <c r="G643" s="2290"/>
      <c r="H643" s="2289"/>
      <c r="I643" s="2289"/>
      <c r="J643" s="2290"/>
      <c r="K643" s="2289"/>
      <c r="L643" s="2289"/>
      <c r="M643" s="2290"/>
      <c r="N643" s="2290"/>
      <c r="O643" s="2290"/>
      <c r="P643" s="2290"/>
      <c r="Q643" s="2289"/>
      <c r="R643" s="2289"/>
      <c r="S643" s="2289"/>
      <c r="T643" s="2291"/>
      <c r="U643" s="2289"/>
      <c r="V643" s="2289"/>
      <c r="W643" s="2289"/>
      <c r="X643" s="2292"/>
      <c r="Y643" s="2292"/>
      <c r="Z643" s="2289"/>
      <c r="AA643" s="2289"/>
      <c r="AB643" s="2289"/>
      <c r="AC643" s="2289"/>
      <c r="AD643" s="2293"/>
      <c r="AE643" s="2293"/>
      <c r="AF643" s="2293"/>
      <c r="AG643" s="2293"/>
      <c r="AH643" s="2289"/>
      <c r="AI643" s="2289"/>
      <c r="AJ643" s="2294"/>
      <c r="AK643" s="2294"/>
      <c r="AL643" s="2289"/>
      <c r="AM643" s="2289"/>
      <c r="AN643" s="2289"/>
      <c r="AO643" s="2289"/>
      <c r="AP643" s="2289"/>
      <c r="AQ643" s="2289"/>
      <c r="AR643" s="2294"/>
      <c r="AS643" s="2294"/>
      <c r="AT643" s="2295"/>
      <c r="AU643" s="2295"/>
      <c r="AV643" s="2295"/>
      <c r="AW643" s="2295"/>
      <c r="AX643" s="2296"/>
      <c r="AY643" s="2289"/>
      <c r="AZ643" s="2289"/>
      <c r="BA643" s="2289"/>
      <c r="BB643" s="2289"/>
      <c r="BC643" s="2289"/>
      <c r="BD643" s="2289"/>
      <c r="BE643" s="2289"/>
      <c r="BF643" s="2289"/>
      <c r="BG643" s="2289"/>
      <c r="BH643" s="2289"/>
      <c r="BI643" s="2289"/>
      <c r="BJ643" s="2289"/>
      <c r="BK643" s="2289"/>
      <c r="BL643" s="2289"/>
      <c r="BM643" s="2289"/>
      <c r="BN643" s="2289"/>
      <c r="BO643" s="2289"/>
      <c r="BP643" s="2289"/>
      <c r="BQ643" s="2289"/>
      <c r="BR643" s="2289"/>
    </row>
    <row r="644" spans="1:70" ht="15.75" customHeight="1">
      <c r="A644" s="2289"/>
      <c r="B644" s="2289"/>
      <c r="C644" s="2289"/>
      <c r="D644" s="2289"/>
      <c r="E644" s="2289"/>
      <c r="F644" s="2289"/>
      <c r="G644" s="2290"/>
      <c r="H644" s="2289"/>
      <c r="I644" s="2289"/>
      <c r="J644" s="2290"/>
      <c r="K644" s="2289"/>
      <c r="L644" s="2289"/>
      <c r="M644" s="2290"/>
      <c r="N644" s="2290"/>
      <c r="O644" s="2290"/>
      <c r="P644" s="2290"/>
      <c r="Q644" s="2289"/>
      <c r="R644" s="2289"/>
      <c r="S644" s="2289"/>
      <c r="T644" s="2291"/>
      <c r="U644" s="2289"/>
      <c r="V644" s="2289"/>
      <c r="W644" s="2289"/>
      <c r="X644" s="2292"/>
      <c r="Y644" s="2292"/>
      <c r="Z644" s="2289"/>
      <c r="AA644" s="2289"/>
      <c r="AB644" s="2289"/>
      <c r="AC644" s="2289"/>
      <c r="AD644" s="2293"/>
      <c r="AE644" s="2293"/>
      <c r="AF644" s="2293"/>
      <c r="AG644" s="2293"/>
      <c r="AH644" s="2289"/>
      <c r="AI644" s="2289"/>
      <c r="AJ644" s="2294"/>
      <c r="AK644" s="2294"/>
      <c r="AL644" s="2289"/>
      <c r="AM644" s="2289"/>
      <c r="AN644" s="2289"/>
      <c r="AO644" s="2289"/>
      <c r="AP644" s="2289"/>
      <c r="AQ644" s="2289"/>
      <c r="AR644" s="2294"/>
      <c r="AS644" s="2294"/>
      <c r="AT644" s="2295"/>
      <c r="AU644" s="2295"/>
      <c r="AV644" s="2295"/>
      <c r="AW644" s="2295"/>
      <c r="AX644" s="2296"/>
      <c r="AY644" s="2289"/>
      <c r="AZ644" s="2289"/>
      <c r="BA644" s="2289"/>
      <c r="BB644" s="2289"/>
      <c r="BC644" s="2289"/>
      <c r="BD644" s="2289"/>
      <c r="BE644" s="2289"/>
      <c r="BF644" s="2289"/>
      <c r="BG644" s="2289"/>
      <c r="BH644" s="2289"/>
      <c r="BI644" s="2289"/>
      <c r="BJ644" s="2289"/>
      <c r="BK644" s="2289"/>
      <c r="BL644" s="2289"/>
      <c r="BM644" s="2289"/>
      <c r="BN644" s="2289"/>
      <c r="BO644" s="2289"/>
      <c r="BP644" s="2289"/>
      <c r="BQ644" s="2289"/>
      <c r="BR644" s="2289"/>
    </row>
    <row r="645" spans="1:70" ht="15.75" customHeight="1">
      <c r="A645" s="2289"/>
      <c r="B645" s="2289"/>
      <c r="C645" s="2289"/>
      <c r="D645" s="2289"/>
      <c r="E645" s="2289"/>
      <c r="F645" s="2289"/>
      <c r="G645" s="2290"/>
      <c r="H645" s="2289"/>
      <c r="I645" s="2289"/>
      <c r="J645" s="2290"/>
      <c r="K645" s="2289"/>
      <c r="L645" s="2289"/>
      <c r="M645" s="2290"/>
      <c r="N645" s="2290"/>
      <c r="O645" s="2290"/>
      <c r="P645" s="2290"/>
      <c r="Q645" s="2289"/>
      <c r="R645" s="2289"/>
      <c r="S645" s="2289"/>
      <c r="T645" s="2291"/>
      <c r="U645" s="2289"/>
      <c r="V645" s="2289"/>
      <c r="W645" s="2289"/>
      <c r="X645" s="2292"/>
      <c r="Y645" s="2292"/>
      <c r="Z645" s="2289"/>
      <c r="AA645" s="2289"/>
      <c r="AB645" s="2289"/>
      <c r="AC645" s="2289"/>
      <c r="AD645" s="2293"/>
      <c r="AE645" s="2293"/>
      <c r="AF645" s="2293"/>
      <c r="AG645" s="2293"/>
      <c r="AH645" s="2289"/>
      <c r="AI645" s="2289"/>
      <c r="AJ645" s="2294"/>
      <c r="AK645" s="2294"/>
      <c r="AL645" s="2289"/>
      <c r="AM645" s="2289"/>
      <c r="AN645" s="2289"/>
      <c r="AO645" s="2289"/>
      <c r="AP645" s="2289"/>
      <c r="AQ645" s="2289"/>
      <c r="AR645" s="2294"/>
      <c r="AS645" s="2294"/>
      <c r="AT645" s="2295"/>
      <c r="AU645" s="2295"/>
      <c r="AV645" s="2295"/>
      <c r="AW645" s="2295"/>
      <c r="AX645" s="2296"/>
      <c r="AY645" s="2289"/>
      <c r="AZ645" s="2289"/>
      <c r="BA645" s="2289"/>
      <c r="BB645" s="2289"/>
      <c r="BC645" s="2289"/>
      <c r="BD645" s="2289"/>
      <c r="BE645" s="2289"/>
      <c r="BF645" s="2289"/>
      <c r="BG645" s="2289"/>
      <c r="BH645" s="2289"/>
      <c r="BI645" s="2289"/>
      <c r="BJ645" s="2289"/>
      <c r="BK645" s="2289"/>
      <c r="BL645" s="2289"/>
      <c r="BM645" s="2289"/>
      <c r="BN645" s="2289"/>
      <c r="BO645" s="2289"/>
      <c r="BP645" s="2289"/>
      <c r="BQ645" s="2289"/>
      <c r="BR645" s="2289"/>
    </row>
    <row r="646" spans="1:70" ht="15.75" customHeight="1">
      <c r="A646" s="2289"/>
      <c r="B646" s="2289"/>
      <c r="C646" s="2289"/>
      <c r="D646" s="2289"/>
      <c r="E646" s="2289"/>
      <c r="F646" s="2289"/>
      <c r="G646" s="2290"/>
      <c r="H646" s="2289"/>
      <c r="I646" s="2289"/>
      <c r="J646" s="2290"/>
      <c r="K646" s="2289"/>
      <c r="L646" s="2289"/>
      <c r="M646" s="2290"/>
      <c r="N646" s="2290"/>
      <c r="O646" s="2290"/>
      <c r="P646" s="2290"/>
      <c r="Q646" s="2289"/>
      <c r="R646" s="2289"/>
      <c r="S646" s="2289"/>
      <c r="T646" s="2291"/>
      <c r="U646" s="2289"/>
      <c r="V646" s="2289"/>
      <c r="W646" s="2289"/>
      <c r="X646" s="2292"/>
      <c r="Y646" s="2292"/>
      <c r="Z646" s="2289"/>
      <c r="AA646" s="2289"/>
      <c r="AB646" s="2289"/>
      <c r="AC646" s="2289"/>
      <c r="AD646" s="2293"/>
      <c r="AE646" s="2293"/>
      <c r="AF646" s="2293"/>
      <c r="AG646" s="2293"/>
      <c r="AH646" s="2289"/>
      <c r="AI646" s="2289"/>
      <c r="AJ646" s="2294"/>
      <c r="AK646" s="2294"/>
      <c r="AL646" s="2289"/>
      <c r="AM646" s="2289"/>
      <c r="AN646" s="2289"/>
      <c r="AO646" s="2289"/>
      <c r="AP646" s="2289"/>
      <c r="AQ646" s="2289"/>
      <c r="AR646" s="2294"/>
      <c r="AS646" s="2294"/>
      <c r="AT646" s="2295"/>
      <c r="AU646" s="2295"/>
      <c r="AV646" s="2295"/>
      <c r="AW646" s="2295"/>
      <c r="AX646" s="2296"/>
      <c r="AY646" s="2289"/>
      <c r="AZ646" s="2289"/>
      <c r="BA646" s="2289"/>
      <c r="BB646" s="2289"/>
      <c r="BC646" s="2289"/>
      <c r="BD646" s="2289"/>
      <c r="BE646" s="2289"/>
      <c r="BF646" s="2289"/>
      <c r="BG646" s="2289"/>
      <c r="BH646" s="2289"/>
      <c r="BI646" s="2289"/>
      <c r="BJ646" s="2289"/>
      <c r="BK646" s="2289"/>
      <c r="BL646" s="2289"/>
      <c r="BM646" s="2289"/>
      <c r="BN646" s="2289"/>
      <c r="BO646" s="2289"/>
      <c r="BP646" s="2289"/>
      <c r="BQ646" s="2289"/>
      <c r="BR646" s="2289"/>
    </row>
    <row r="647" spans="1:70" ht="15.75" customHeight="1">
      <c r="A647" s="2289"/>
      <c r="B647" s="2289"/>
      <c r="C647" s="2289"/>
      <c r="D647" s="2289"/>
      <c r="E647" s="2289"/>
      <c r="F647" s="2289"/>
      <c r="G647" s="2290"/>
      <c r="H647" s="2289"/>
      <c r="I647" s="2289"/>
      <c r="J647" s="2290"/>
      <c r="K647" s="2289"/>
      <c r="L647" s="2289"/>
      <c r="M647" s="2290"/>
      <c r="N647" s="2290"/>
      <c r="O647" s="2290"/>
      <c r="P647" s="2290"/>
      <c r="Q647" s="2289"/>
      <c r="R647" s="2289"/>
      <c r="S647" s="2289"/>
      <c r="T647" s="2291"/>
      <c r="U647" s="2289"/>
      <c r="V647" s="2289"/>
      <c r="W647" s="2289"/>
      <c r="X647" s="2292"/>
      <c r="Y647" s="2292"/>
      <c r="Z647" s="2289"/>
      <c r="AA647" s="2289"/>
      <c r="AB647" s="2289"/>
      <c r="AC647" s="2289"/>
      <c r="AD647" s="2293"/>
      <c r="AE647" s="2293"/>
      <c r="AF647" s="2293"/>
      <c r="AG647" s="2293"/>
      <c r="AH647" s="2289"/>
      <c r="AI647" s="2289"/>
      <c r="AJ647" s="2294"/>
      <c r="AK647" s="2294"/>
      <c r="AL647" s="2289"/>
      <c r="AM647" s="2289"/>
      <c r="AN647" s="2289"/>
      <c r="AO647" s="2289"/>
      <c r="AP647" s="2289"/>
      <c r="AQ647" s="2289"/>
      <c r="AR647" s="2294"/>
      <c r="AS647" s="2294"/>
      <c r="AT647" s="2295"/>
      <c r="AU647" s="2295"/>
      <c r="AV647" s="2295"/>
      <c r="AW647" s="2295"/>
      <c r="AX647" s="2296"/>
      <c r="AY647" s="2289"/>
      <c r="AZ647" s="2289"/>
      <c r="BA647" s="2289"/>
      <c r="BB647" s="2289"/>
      <c r="BC647" s="2289"/>
      <c r="BD647" s="2289"/>
      <c r="BE647" s="2289"/>
      <c r="BF647" s="2289"/>
      <c r="BG647" s="2289"/>
      <c r="BH647" s="2289"/>
      <c r="BI647" s="2289"/>
      <c r="BJ647" s="2289"/>
      <c r="BK647" s="2289"/>
      <c r="BL647" s="2289"/>
      <c r="BM647" s="2289"/>
      <c r="BN647" s="2289"/>
      <c r="BO647" s="2289"/>
      <c r="BP647" s="2289"/>
      <c r="BQ647" s="2289"/>
      <c r="BR647" s="2289"/>
    </row>
    <row r="648" spans="1:70" ht="15.75" customHeight="1">
      <c r="A648" s="2289"/>
      <c r="B648" s="2289"/>
      <c r="C648" s="2289"/>
      <c r="D648" s="2289"/>
      <c r="E648" s="2289"/>
      <c r="F648" s="2289"/>
      <c r="G648" s="2290"/>
      <c r="H648" s="2289"/>
      <c r="I648" s="2289"/>
      <c r="J648" s="2290"/>
      <c r="K648" s="2289"/>
      <c r="L648" s="2289"/>
      <c r="M648" s="2290"/>
      <c r="N648" s="2290"/>
      <c r="O648" s="2290"/>
      <c r="P648" s="2290"/>
      <c r="Q648" s="2289"/>
      <c r="R648" s="2289"/>
      <c r="S648" s="2289"/>
      <c r="T648" s="2291"/>
      <c r="U648" s="2289"/>
      <c r="V648" s="2289"/>
      <c r="W648" s="2289"/>
      <c r="X648" s="2292"/>
      <c r="Y648" s="2292"/>
      <c r="Z648" s="2289"/>
      <c r="AA648" s="2289"/>
      <c r="AB648" s="2289"/>
      <c r="AC648" s="2289"/>
      <c r="AD648" s="2293"/>
      <c r="AE648" s="2293"/>
      <c r="AF648" s="2293"/>
      <c r="AG648" s="2293"/>
      <c r="AH648" s="2289"/>
      <c r="AI648" s="2289"/>
      <c r="AJ648" s="2294"/>
      <c r="AK648" s="2294"/>
      <c r="AL648" s="2289"/>
      <c r="AM648" s="2289"/>
      <c r="AN648" s="2289"/>
      <c r="AO648" s="2289"/>
      <c r="AP648" s="2289"/>
      <c r="AQ648" s="2289"/>
      <c r="AR648" s="2294"/>
      <c r="AS648" s="2294"/>
      <c r="AT648" s="2295"/>
      <c r="AU648" s="2295"/>
      <c r="AV648" s="2295"/>
      <c r="AW648" s="2295"/>
      <c r="AX648" s="2296"/>
      <c r="AY648" s="2289"/>
      <c r="AZ648" s="2289"/>
      <c r="BA648" s="2289"/>
      <c r="BB648" s="2289"/>
      <c r="BC648" s="2289"/>
      <c r="BD648" s="2289"/>
      <c r="BE648" s="2289"/>
      <c r="BF648" s="2289"/>
      <c r="BG648" s="2289"/>
      <c r="BH648" s="2289"/>
      <c r="BI648" s="2289"/>
      <c r="BJ648" s="2289"/>
      <c r="BK648" s="2289"/>
      <c r="BL648" s="2289"/>
      <c r="BM648" s="2289"/>
      <c r="BN648" s="2289"/>
      <c r="BO648" s="2289"/>
      <c r="BP648" s="2289"/>
      <c r="BQ648" s="2289"/>
      <c r="BR648" s="2289"/>
    </row>
    <row r="649" spans="1:70" ht="15.75" customHeight="1">
      <c r="A649" s="2289"/>
      <c r="B649" s="2289"/>
      <c r="C649" s="2289"/>
      <c r="D649" s="2289"/>
      <c r="E649" s="2289"/>
      <c r="F649" s="2289"/>
      <c r="G649" s="2290"/>
      <c r="H649" s="2289"/>
      <c r="I649" s="2289"/>
      <c r="J649" s="2290"/>
      <c r="K649" s="2289"/>
      <c r="L649" s="2289"/>
      <c r="M649" s="2290"/>
      <c r="N649" s="2290"/>
      <c r="O649" s="2290"/>
      <c r="P649" s="2290"/>
      <c r="Q649" s="2289"/>
      <c r="R649" s="2289"/>
      <c r="S649" s="2289"/>
      <c r="T649" s="2291"/>
      <c r="U649" s="2289"/>
      <c r="V649" s="2289"/>
      <c r="W649" s="2289"/>
      <c r="X649" s="2292"/>
      <c r="Y649" s="2292"/>
      <c r="Z649" s="2289"/>
      <c r="AA649" s="2289"/>
      <c r="AB649" s="2289"/>
      <c r="AC649" s="2289"/>
      <c r="AD649" s="2293"/>
      <c r="AE649" s="2293"/>
      <c r="AF649" s="2293"/>
      <c r="AG649" s="2293"/>
      <c r="AH649" s="2289"/>
      <c r="AI649" s="2289"/>
      <c r="AJ649" s="2294"/>
      <c r="AK649" s="2294"/>
      <c r="AL649" s="2289"/>
      <c r="AM649" s="2289"/>
      <c r="AN649" s="2289"/>
      <c r="AO649" s="2289"/>
      <c r="AP649" s="2289"/>
      <c r="AQ649" s="2289"/>
      <c r="AR649" s="2294"/>
      <c r="AS649" s="2294"/>
      <c r="AT649" s="2295"/>
      <c r="AU649" s="2295"/>
      <c r="AV649" s="2295"/>
      <c r="AW649" s="2295"/>
      <c r="AX649" s="2296"/>
      <c r="AY649" s="2289"/>
      <c r="AZ649" s="2289"/>
      <c r="BA649" s="2289"/>
      <c r="BB649" s="2289"/>
      <c r="BC649" s="2289"/>
      <c r="BD649" s="2289"/>
      <c r="BE649" s="2289"/>
      <c r="BF649" s="2289"/>
      <c r="BG649" s="2289"/>
      <c r="BH649" s="2289"/>
      <c r="BI649" s="2289"/>
      <c r="BJ649" s="2289"/>
      <c r="BK649" s="2289"/>
      <c r="BL649" s="2289"/>
      <c r="BM649" s="2289"/>
      <c r="BN649" s="2289"/>
      <c r="BO649" s="2289"/>
      <c r="BP649" s="2289"/>
      <c r="BQ649" s="2289"/>
      <c r="BR649" s="2289"/>
    </row>
    <row r="650" spans="1:70" ht="15.75" customHeight="1">
      <c r="A650" s="2289"/>
      <c r="B650" s="2289"/>
      <c r="C650" s="2289"/>
      <c r="D650" s="2289"/>
      <c r="E650" s="2289"/>
      <c r="F650" s="2289"/>
      <c r="G650" s="2290"/>
      <c r="H650" s="2289"/>
      <c r="I650" s="2289"/>
      <c r="J650" s="2290"/>
      <c r="K650" s="2289"/>
      <c r="L650" s="2289"/>
      <c r="M650" s="2290"/>
      <c r="N650" s="2290"/>
      <c r="O650" s="2290"/>
      <c r="P650" s="2290"/>
      <c r="Q650" s="2289"/>
      <c r="R650" s="2289"/>
      <c r="S650" s="2289"/>
      <c r="T650" s="2291"/>
      <c r="U650" s="2289"/>
      <c r="V650" s="2289"/>
      <c r="W650" s="2289"/>
      <c r="X650" s="2292"/>
      <c r="Y650" s="2292"/>
      <c r="Z650" s="2289"/>
      <c r="AA650" s="2289"/>
      <c r="AB650" s="2289"/>
      <c r="AC650" s="2289"/>
      <c r="AD650" s="2293"/>
      <c r="AE650" s="2293"/>
      <c r="AF650" s="2293"/>
      <c r="AG650" s="2293"/>
      <c r="AH650" s="2289"/>
      <c r="AI650" s="2289"/>
      <c r="AJ650" s="2294"/>
      <c r="AK650" s="2294"/>
      <c r="AL650" s="2289"/>
      <c r="AM650" s="2289"/>
      <c r="AN650" s="2289"/>
      <c r="AO650" s="2289"/>
      <c r="AP650" s="2289"/>
      <c r="AQ650" s="2289"/>
      <c r="AR650" s="2294"/>
      <c r="AS650" s="2294"/>
      <c r="AT650" s="2295"/>
      <c r="AU650" s="2295"/>
      <c r="AV650" s="2295"/>
      <c r="AW650" s="2295"/>
      <c r="AX650" s="2296"/>
      <c r="AY650" s="2289"/>
      <c r="AZ650" s="2289"/>
      <c r="BA650" s="2289"/>
      <c r="BB650" s="2289"/>
      <c r="BC650" s="2289"/>
      <c r="BD650" s="2289"/>
      <c r="BE650" s="2289"/>
      <c r="BF650" s="2289"/>
      <c r="BG650" s="2289"/>
      <c r="BH650" s="2289"/>
      <c r="BI650" s="2289"/>
      <c r="BJ650" s="2289"/>
      <c r="BK650" s="2289"/>
      <c r="BL650" s="2289"/>
      <c r="BM650" s="2289"/>
      <c r="BN650" s="2289"/>
      <c r="BO650" s="2289"/>
      <c r="BP650" s="2289"/>
      <c r="BQ650" s="2289"/>
      <c r="BR650" s="2289"/>
    </row>
    <row r="651" spans="1:70" ht="15.75" customHeight="1">
      <c r="A651" s="2289"/>
      <c r="B651" s="2289"/>
      <c r="C651" s="2289"/>
      <c r="D651" s="2289"/>
      <c r="E651" s="2289"/>
      <c r="F651" s="2289"/>
      <c r="G651" s="2290"/>
      <c r="H651" s="2289"/>
      <c r="I651" s="2289"/>
      <c r="J651" s="2290"/>
      <c r="K651" s="2289"/>
      <c r="L651" s="2289"/>
      <c r="M651" s="2290"/>
      <c r="N651" s="2290"/>
      <c r="O651" s="2290"/>
      <c r="P651" s="2290"/>
      <c r="Q651" s="2289"/>
      <c r="R651" s="2289"/>
      <c r="S651" s="2289"/>
      <c r="T651" s="2291"/>
      <c r="U651" s="2289"/>
      <c r="V651" s="2289"/>
      <c r="W651" s="2289"/>
      <c r="X651" s="2292"/>
      <c r="Y651" s="2292"/>
      <c r="Z651" s="2289"/>
      <c r="AA651" s="2289"/>
      <c r="AB651" s="2289"/>
      <c r="AC651" s="2289"/>
      <c r="AD651" s="2293"/>
      <c r="AE651" s="2293"/>
      <c r="AF651" s="2293"/>
      <c r="AG651" s="2293"/>
      <c r="AH651" s="2289"/>
      <c r="AI651" s="2289"/>
      <c r="AJ651" s="2294"/>
      <c r="AK651" s="2294"/>
      <c r="AL651" s="2289"/>
      <c r="AM651" s="2289"/>
      <c r="AN651" s="2289"/>
      <c r="AO651" s="2289"/>
      <c r="AP651" s="2289"/>
      <c r="AQ651" s="2289"/>
      <c r="AR651" s="2294"/>
      <c r="AS651" s="2294"/>
      <c r="AT651" s="2295"/>
      <c r="AU651" s="2295"/>
      <c r="AV651" s="2295"/>
      <c r="AW651" s="2295"/>
      <c r="AX651" s="2296"/>
      <c r="AY651" s="2289"/>
      <c r="AZ651" s="2289"/>
      <c r="BA651" s="2289"/>
      <c r="BB651" s="2289"/>
      <c r="BC651" s="2289"/>
      <c r="BD651" s="2289"/>
      <c r="BE651" s="2289"/>
      <c r="BF651" s="2289"/>
      <c r="BG651" s="2289"/>
      <c r="BH651" s="2289"/>
      <c r="BI651" s="2289"/>
      <c r="BJ651" s="2289"/>
      <c r="BK651" s="2289"/>
      <c r="BL651" s="2289"/>
      <c r="BM651" s="2289"/>
      <c r="BN651" s="2289"/>
      <c r="BO651" s="2289"/>
      <c r="BP651" s="2289"/>
      <c r="BQ651" s="2289"/>
      <c r="BR651" s="2289"/>
    </row>
    <row r="652" spans="1:70" ht="15.75" customHeight="1">
      <c r="A652" s="2289"/>
      <c r="B652" s="2289"/>
      <c r="C652" s="2289"/>
      <c r="D652" s="2289"/>
      <c r="E652" s="2289"/>
      <c r="F652" s="2289"/>
      <c r="G652" s="2290"/>
      <c r="H652" s="2289"/>
      <c r="I652" s="2289"/>
      <c r="J652" s="2290"/>
      <c r="K652" s="2289"/>
      <c r="L652" s="2289"/>
      <c r="M652" s="2290"/>
      <c r="N652" s="2290"/>
      <c r="O652" s="2290"/>
      <c r="P652" s="2290"/>
      <c r="Q652" s="2289"/>
      <c r="R652" s="2289"/>
      <c r="S652" s="2289"/>
      <c r="T652" s="2291"/>
      <c r="U652" s="2289"/>
      <c r="V652" s="2289"/>
      <c r="W652" s="2289"/>
      <c r="X652" s="2292"/>
      <c r="Y652" s="2292"/>
      <c r="Z652" s="2289"/>
      <c r="AA652" s="2289"/>
      <c r="AB652" s="2289"/>
      <c r="AC652" s="2289"/>
      <c r="AD652" s="2293"/>
      <c r="AE652" s="2293"/>
      <c r="AF652" s="2293"/>
      <c r="AG652" s="2293"/>
      <c r="AH652" s="2289"/>
      <c r="AI652" s="2289"/>
      <c r="AJ652" s="2294"/>
      <c r="AK652" s="2294"/>
      <c r="AL652" s="2289"/>
      <c r="AM652" s="2289"/>
      <c r="AN652" s="2289"/>
      <c r="AO652" s="2289"/>
      <c r="AP652" s="2289"/>
      <c r="AQ652" s="2289"/>
      <c r="AR652" s="2294"/>
      <c r="AS652" s="2294"/>
      <c r="AT652" s="2295"/>
      <c r="AU652" s="2295"/>
      <c r="AV652" s="2295"/>
      <c r="AW652" s="2295"/>
      <c r="AX652" s="2296"/>
      <c r="AY652" s="2289"/>
      <c r="AZ652" s="2289"/>
      <c r="BA652" s="2289"/>
      <c r="BB652" s="2289"/>
      <c r="BC652" s="2289"/>
      <c r="BD652" s="2289"/>
      <c r="BE652" s="2289"/>
      <c r="BF652" s="2289"/>
      <c r="BG652" s="2289"/>
      <c r="BH652" s="2289"/>
      <c r="BI652" s="2289"/>
      <c r="BJ652" s="2289"/>
      <c r="BK652" s="2289"/>
      <c r="BL652" s="2289"/>
      <c r="BM652" s="2289"/>
      <c r="BN652" s="2289"/>
      <c r="BO652" s="2289"/>
      <c r="BP652" s="2289"/>
      <c r="BQ652" s="2289"/>
      <c r="BR652" s="2289"/>
    </row>
    <row r="653" spans="1:70" ht="15.75" customHeight="1">
      <c r="A653" s="2289"/>
      <c r="B653" s="2289"/>
      <c r="C653" s="2289"/>
      <c r="D653" s="2289"/>
      <c r="E653" s="2289"/>
      <c r="F653" s="2289"/>
      <c r="G653" s="2290"/>
      <c r="H653" s="2289"/>
      <c r="I653" s="2289"/>
      <c r="J653" s="2290"/>
      <c r="K653" s="2289"/>
      <c r="L653" s="2289"/>
      <c r="M653" s="2290"/>
      <c r="N653" s="2290"/>
      <c r="O653" s="2290"/>
      <c r="P653" s="2290"/>
      <c r="Q653" s="2289"/>
      <c r="R653" s="2289"/>
      <c r="S653" s="2289"/>
      <c r="T653" s="2291"/>
      <c r="U653" s="2289"/>
      <c r="V653" s="2289"/>
      <c r="W653" s="2289"/>
      <c r="X653" s="2292"/>
      <c r="Y653" s="2292"/>
      <c r="Z653" s="2289"/>
      <c r="AA653" s="2289"/>
      <c r="AB653" s="2289"/>
      <c r="AC653" s="2289"/>
      <c r="AD653" s="2293"/>
      <c r="AE653" s="2293"/>
      <c r="AF653" s="2293"/>
      <c r="AG653" s="2293"/>
      <c r="AH653" s="2289"/>
      <c r="AI653" s="2289"/>
      <c r="AJ653" s="2294"/>
      <c r="AK653" s="2294"/>
      <c r="AL653" s="2289"/>
      <c r="AM653" s="2289"/>
      <c r="AN653" s="2289"/>
      <c r="AO653" s="2289"/>
      <c r="AP653" s="2289"/>
      <c r="AQ653" s="2289"/>
      <c r="AR653" s="2294"/>
      <c r="AS653" s="2294"/>
      <c r="AT653" s="2295"/>
      <c r="AU653" s="2295"/>
      <c r="AV653" s="2295"/>
      <c r="AW653" s="2295"/>
      <c r="AX653" s="2296"/>
      <c r="AY653" s="2289"/>
      <c r="AZ653" s="2289"/>
      <c r="BA653" s="2289"/>
      <c r="BB653" s="2289"/>
      <c r="BC653" s="2289"/>
      <c r="BD653" s="2289"/>
      <c r="BE653" s="2289"/>
      <c r="BF653" s="2289"/>
      <c r="BG653" s="2289"/>
      <c r="BH653" s="2289"/>
      <c r="BI653" s="2289"/>
      <c r="BJ653" s="2289"/>
      <c r="BK653" s="2289"/>
      <c r="BL653" s="2289"/>
      <c r="BM653" s="2289"/>
      <c r="BN653" s="2289"/>
      <c r="BO653" s="2289"/>
      <c r="BP653" s="2289"/>
      <c r="BQ653" s="2289"/>
      <c r="BR653" s="2289"/>
    </row>
    <row r="654" spans="1:70" ht="15.75" customHeight="1">
      <c r="A654" s="2289"/>
      <c r="B654" s="2289"/>
      <c r="C654" s="2289"/>
      <c r="D654" s="2289"/>
      <c r="E654" s="2289"/>
      <c r="F654" s="2289"/>
      <c r="G654" s="2290"/>
      <c r="H654" s="2289"/>
      <c r="I654" s="2289"/>
      <c r="J654" s="2290"/>
      <c r="K654" s="2289"/>
      <c r="L654" s="2289"/>
      <c r="M654" s="2290"/>
      <c r="N654" s="2290"/>
      <c r="O654" s="2290"/>
      <c r="P654" s="2290"/>
      <c r="Q654" s="2289"/>
      <c r="R654" s="2289"/>
      <c r="S654" s="2289"/>
      <c r="T654" s="2291"/>
      <c r="U654" s="2289"/>
      <c r="V654" s="2289"/>
      <c r="W654" s="2289"/>
      <c r="X654" s="2292"/>
      <c r="Y654" s="2292"/>
      <c r="Z654" s="2289"/>
      <c r="AA654" s="2289"/>
      <c r="AB654" s="2289"/>
      <c r="AC654" s="2289"/>
      <c r="AD654" s="2293"/>
      <c r="AE654" s="2293"/>
      <c r="AF654" s="2293"/>
      <c r="AG654" s="2293"/>
      <c r="AH654" s="2289"/>
      <c r="AI654" s="2289"/>
      <c r="AJ654" s="2294"/>
      <c r="AK654" s="2294"/>
      <c r="AL654" s="2289"/>
      <c r="AM654" s="2289"/>
      <c r="AN654" s="2289"/>
      <c r="AO654" s="2289"/>
      <c r="AP654" s="2289"/>
      <c r="AQ654" s="2289"/>
      <c r="AR654" s="2294"/>
      <c r="AS654" s="2294"/>
      <c r="AT654" s="2295"/>
      <c r="AU654" s="2295"/>
      <c r="AV654" s="2295"/>
      <c r="AW654" s="2295"/>
      <c r="AX654" s="2296"/>
      <c r="AY654" s="2289"/>
      <c r="AZ654" s="2289"/>
      <c r="BA654" s="2289"/>
      <c r="BB654" s="2289"/>
      <c r="BC654" s="2289"/>
      <c r="BD654" s="2289"/>
      <c r="BE654" s="2289"/>
      <c r="BF654" s="2289"/>
      <c r="BG654" s="2289"/>
      <c r="BH654" s="2289"/>
      <c r="BI654" s="2289"/>
      <c r="BJ654" s="2289"/>
      <c r="BK654" s="2289"/>
      <c r="BL654" s="2289"/>
      <c r="BM654" s="2289"/>
      <c r="BN654" s="2289"/>
      <c r="BO654" s="2289"/>
      <c r="BP654" s="2289"/>
      <c r="BQ654" s="2289"/>
      <c r="BR654" s="2289"/>
    </row>
    <row r="655" spans="1:70" ht="15.75" customHeight="1">
      <c r="A655" s="2289"/>
      <c r="B655" s="2289"/>
      <c r="C655" s="2289"/>
      <c r="D655" s="2289"/>
      <c r="E655" s="2289"/>
      <c r="F655" s="2289"/>
      <c r="G655" s="2290"/>
      <c r="H655" s="2289"/>
      <c r="I655" s="2289"/>
      <c r="J655" s="2290"/>
      <c r="K655" s="2289"/>
      <c r="L655" s="2289"/>
      <c r="M655" s="2290"/>
      <c r="N655" s="2290"/>
      <c r="O655" s="2290"/>
      <c r="P655" s="2290"/>
      <c r="Q655" s="2289"/>
      <c r="R655" s="2289"/>
      <c r="S655" s="2289"/>
      <c r="T655" s="2291"/>
      <c r="U655" s="2289"/>
      <c r="V655" s="2289"/>
      <c r="W655" s="2289"/>
      <c r="X655" s="2292"/>
      <c r="Y655" s="2292"/>
      <c r="Z655" s="2289"/>
      <c r="AA655" s="2289"/>
      <c r="AB655" s="2289"/>
      <c r="AC655" s="2289"/>
      <c r="AD655" s="2293"/>
      <c r="AE655" s="2293"/>
      <c r="AF655" s="2293"/>
      <c r="AG655" s="2293"/>
      <c r="AH655" s="2289"/>
      <c r="AI655" s="2289"/>
      <c r="AJ655" s="2294"/>
      <c r="AK655" s="2294"/>
      <c r="AL655" s="2289"/>
      <c r="AM655" s="2289"/>
      <c r="AN655" s="2289"/>
      <c r="AO655" s="2289"/>
      <c r="AP655" s="2289"/>
      <c r="AQ655" s="2289"/>
      <c r="AR655" s="2294"/>
      <c r="AS655" s="2294"/>
      <c r="AT655" s="2295"/>
      <c r="AU655" s="2295"/>
      <c r="AV655" s="2295"/>
      <c r="AW655" s="2295"/>
      <c r="AX655" s="2296"/>
      <c r="AY655" s="2289"/>
      <c r="AZ655" s="2289"/>
      <c r="BA655" s="2289"/>
      <c r="BB655" s="2289"/>
      <c r="BC655" s="2289"/>
      <c r="BD655" s="2289"/>
      <c r="BE655" s="2289"/>
      <c r="BF655" s="2289"/>
      <c r="BG655" s="2289"/>
      <c r="BH655" s="2289"/>
      <c r="BI655" s="2289"/>
      <c r="BJ655" s="2289"/>
      <c r="BK655" s="2289"/>
      <c r="BL655" s="2289"/>
      <c r="BM655" s="2289"/>
      <c r="BN655" s="2289"/>
      <c r="BO655" s="2289"/>
      <c r="BP655" s="2289"/>
      <c r="BQ655" s="2289"/>
      <c r="BR655" s="2289"/>
    </row>
    <row r="656" spans="1:70" ht="15.75" customHeight="1">
      <c r="A656" s="2289"/>
      <c r="B656" s="2289"/>
      <c r="C656" s="2289"/>
      <c r="D656" s="2289"/>
      <c r="E656" s="2289"/>
      <c r="F656" s="2289"/>
      <c r="G656" s="2290"/>
      <c r="H656" s="2289"/>
      <c r="I656" s="2289"/>
      <c r="J656" s="2290"/>
      <c r="K656" s="2289"/>
      <c r="L656" s="2289"/>
      <c r="M656" s="2290"/>
      <c r="N656" s="2290"/>
      <c r="O656" s="2290"/>
      <c r="P656" s="2290"/>
      <c r="Q656" s="2289"/>
      <c r="R656" s="2289"/>
      <c r="S656" s="2289"/>
      <c r="T656" s="2291"/>
      <c r="U656" s="2289"/>
      <c r="V656" s="2289"/>
      <c r="W656" s="2289"/>
      <c r="X656" s="2292"/>
      <c r="Y656" s="2292"/>
      <c r="Z656" s="2289"/>
      <c r="AA656" s="2289"/>
      <c r="AB656" s="2289"/>
      <c r="AC656" s="2289"/>
      <c r="AD656" s="2293"/>
      <c r="AE656" s="2293"/>
      <c r="AF656" s="2293"/>
      <c r="AG656" s="2293"/>
      <c r="AH656" s="2289"/>
      <c r="AI656" s="2289"/>
      <c r="AJ656" s="2294"/>
      <c r="AK656" s="2294"/>
      <c r="AL656" s="2289"/>
      <c r="AM656" s="2289"/>
      <c r="AN656" s="2289"/>
      <c r="AO656" s="2289"/>
      <c r="AP656" s="2289"/>
      <c r="AQ656" s="2289"/>
      <c r="AR656" s="2294"/>
      <c r="AS656" s="2294"/>
      <c r="AT656" s="2295"/>
      <c r="AU656" s="2295"/>
      <c r="AV656" s="2295"/>
      <c r="AW656" s="2295"/>
      <c r="AX656" s="2296"/>
      <c r="AY656" s="2289"/>
      <c r="AZ656" s="2289"/>
      <c r="BA656" s="2289"/>
      <c r="BB656" s="2289"/>
      <c r="BC656" s="2289"/>
      <c r="BD656" s="2289"/>
      <c r="BE656" s="2289"/>
      <c r="BF656" s="2289"/>
      <c r="BG656" s="2289"/>
      <c r="BH656" s="2289"/>
      <c r="BI656" s="2289"/>
      <c r="BJ656" s="2289"/>
      <c r="BK656" s="2289"/>
      <c r="BL656" s="2289"/>
      <c r="BM656" s="2289"/>
      <c r="BN656" s="2289"/>
      <c r="BO656" s="2289"/>
      <c r="BP656" s="2289"/>
      <c r="BQ656" s="2289"/>
      <c r="BR656" s="2289"/>
    </row>
    <row r="657" spans="1:70" ht="15.75" customHeight="1">
      <c r="A657" s="2289"/>
      <c r="B657" s="2289"/>
      <c r="C657" s="2289"/>
      <c r="D657" s="2289"/>
      <c r="E657" s="2289"/>
      <c r="F657" s="2289"/>
      <c r="G657" s="2290"/>
      <c r="H657" s="2289"/>
      <c r="I657" s="2289"/>
      <c r="J657" s="2290"/>
      <c r="K657" s="2289"/>
      <c r="L657" s="2289"/>
      <c r="M657" s="2290"/>
      <c r="N657" s="2290"/>
      <c r="O657" s="2290"/>
      <c r="P657" s="2290"/>
      <c r="Q657" s="2289"/>
      <c r="R657" s="2289"/>
      <c r="S657" s="2289"/>
      <c r="T657" s="2291"/>
      <c r="U657" s="2289"/>
      <c r="V657" s="2289"/>
      <c r="W657" s="2289"/>
      <c r="X657" s="2292"/>
      <c r="Y657" s="2292"/>
      <c r="Z657" s="2289"/>
      <c r="AA657" s="2289"/>
      <c r="AB657" s="2289"/>
      <c r="AC657" s="2289"/>
      <c r="AD657" s="2293"/>
      <c r="AE657" s="2293"/>
      <c r="AF657" s="2293"/>
      <c r="AG657" s="2293"/>
      <c r="AH657" s="2289"/>
      <c r="AI657" s="2289"/>
      <c r="AJ657" s="2294"/>
      <c r="AK657" s="2294"/>
      <c r="AL657" s="2289"/>
      <c r="AM657" s="2289"/>
      <c r="AN657" s="2289"/>
      <c r="AO657" s="2289"/>
      <c r="AP657" s="2289"/>
      <c r="AQ657" s="2289"/>
      <c r="AR657" s="2294"/>
      <c r="AS657" s="2294"/>
      <c r="AT657" s="2295"/>
      <c r="AU657" s="2295"/>
      <c r="AV657" s="2295"/>
      <c r="AW657" s="2295"/>
      <c r="AX657" s="2296"/>
      <c r="AY657" s="2289"/>
      <c r="AZ657" s="2289"/>
      <c r="BA657" s="2289"/>
      <c r="BB657" s="2289"/>
      <c r="BC657" s="2289"/>
      <c r="BD657" s="2289"/>
      <c r="BE657" s="2289"/>
      <c r="BF657" s="2289"/>
      <c r="BG657" s="2289"/>
      <c r="BH657" s="2289"/>
      <c r="BI657" s="2289"/>
      <c r="BJ657" s="2289"/>
      <c r="BK657" s="2289"/>
      <c r="BL657" s="2289"/>
      <c r="BM657" s="2289"/>
      <c r="BN657" s="2289"/>
      <c r="BO657" s="2289"/>
      <c r="BP657" s="2289"/>
      <c r="BQ657" s="2289"/>
      <c r="BR657" s="2289"/>
    </row>
    <row r="658" spans="1:70" ht="15.75" customHeight="1">
      <c r="A658" s="2289"/>
      <c r="B658" s="2289"/>
      <c r="C658" s="2289"/>
      <c r="D658" s="2289"/>
      <c r="E658" s="2289"/>
      <c r="F658" s="2289"/>
      <c r="G658" s="2290"/>
      <c r="H658" s="2289"/>
      <c r="I658" s="2289"/>
      <c r="J658" s="2290"/>
      <c r="K658" s="2289"/>
      <c r="L658" s="2289"/>
      <c r="M658" s="2290"/>
      <c r="N658" s="2290"/>
      <c r="O658" s="2290"/>
      <c r="P658" s="2290"/>
      <c r="Q658" s="2289"/>
      <c r="R658" s="2289"/>
      <c r="S658" s="2289"/>
      <c r="T658" s="2291"/>
      <c r="U658" s="2289"/>
      <c r="V658" s="2289"/>
      <c r="W658" s="2289"/>
      <c r="X658" s="2292"/>
      <c r="Y658" s="2292"/>
      <c r="Z658" s="2289"/>
      <c r="AA658" s="2289"/>
      <c r="AB658" s="2289"/>
      <c r="AC658" s="2289"/>
      <c r="AD658" s="2293"/>
      <c r="AE658" s="2293"/>
      <c r="AF658" s="2293"/>
      <c r="AG658" s="2293"/>
      <c r="AH658" s="2289"/>
      <c r="AI658" s="2289"/>
      <c r="AJ658" s="2294"/>
      <c r="AK658" s="2294"/>
      <c r="AL658" s="2289"/>
      <c r="AM658" s="2289"/>
      <c r="AN658" s="2289"/>
      <c r="AO658" s="2289"/>
      <c r="AP658" s="2289"/>
      <c r="AQ658" s="2289"/>
      <c r="AR658" s="2294"/>
      <c r="AS658" s="2294"/>
      <c r="AT658" s="2295"/>
      <c r="AU658" s="2295"/>
      <c r="AV658" s="2295"/>
      <c r="AW658" s="2295"/>
      <c r="AX658" s="2296"/>
      <c r="AY658" s="2289"/>
      <c r="AZ658" s="2289"/>
      <c r="BA658" s="2289"/>
      <c r="BB658" s="2289"/>
      <c r="BC658" s="2289"/>
      <c r="BD658" s="2289"/>
      <c r="BE658" s="2289"/>
      <c r="BF658" s="2289"/>
      <c r="BG658" s="2289"/>
      <c r="BH658" s="2289"/>
      <c r="BI658" s="2289"/>
      <c r="BJ658" s="2289"/>
      <c r="BK658" s="2289"/>
      <c r="BL658" s="2289"/>
      <c r="BM658" s="2289"/>
      <c r="BN658" s="2289"/>
      <c r="BO658" s="2289"/>
      <c r="BP658" s="2289"/>
      <c r="BQ658" s="2289"/>
      <c r="BR658" s="2289"/>
    </row>
    <row r="659" spans="1:70" ht="15.75" customHeight="1">
      <c r="A659" s="2289"/>
      <c r="B659" s="2289"/>
      <c r="C659" s="2289"/>
      <c r="D659" s="2289"/>
      <c r="E659" s="2289"/>
      <c r="F659" s="2289"/>
      <c r="G659" s="2290"/>
      <c r="H659" s="2289"/>
      <c r="I659" s="2289"/>
      <c r="J659" s="2290"/>
      <c r="K659" s="2289"/>
      <c r="L659" s="2289"/>
      <c r="M659" s="2290"/>
      <c r="N659" s="2290"/>
      <c r="O659" s="2290"/>
      <c r="P659" s="2290"/>
      <c r="Q659" s="2289"/>
      <c r="R659" s="2289"/>
      <c r="S659" s="2289"/>
      <c r="T659" s="2291"/>
      <c r="U659" s="2289"/>
      <c r="V659" s="2289"/>
      <c r="W659" s="2289"/>
      <c r="X659" s="2292"/>
      <c r="Y659" s="2292"/>
      <c r="Z659" s="2289"/>
      <c r="AA659" s="2289"/>
      <c r="AB659" s="2289"/>
      <c r="AC659" s="2289"/>
      <c r="AD659" s="2293"/>
      <c r="AE659" s="2293"/>
      <c r="AF659" s="2293"/>
      <c r="AG659" s="2293"/>
      <c r="AH659" s="2289"/>
      <c r="AI659" s="2289"/>
      <c r="AJ659" s="2294"/>
      <c r="AK659" s="2294"/>
      <c r="AL659" s="2289"/>
      <c r="AM659" s="2289"/>
      <c r="AN659" s="2289"/>
      <c r="AO659" s="2289"/>
      <c r="AP659" s="2289"/>
      <c r="AQ659" s="2289"/>
      <c r="AR659" s="2294"/>
      <c r="AS659" s="2294"/>
      <c r="AT659" s="2295"/>
      <c r="AU659" s="2295"/>
      <c r="AV659" s="2295"/>
      <c r="AW659" s="2295"/>
      <c r="AX659" s="2296"/>
      <c r="AY659" s="2289"/>
      <c r="AZ659" s="2289"/>
      <c r="BA659" s="2289"/>
      <c r="BB659" s="2289"/>
      <c r="BC659" s="2289"/>
      <c r="BD659" s="2289"/>
      <c r="BE659" s="2289"/>
      <c r="BF659" s="2289"/>
      <c r="BG659" s="2289"/>
      <c r="BH659" s="2289"/>
      <c r="BI659" s="2289"/>
      <c r="BJ659" s="2289"/>
      <c r="BK659" s="2289"/>
      <c r="BL659" s="2289"/>
      <c r="BM659" s="2289"/>
      <c r="BN659" s="2289"/>
      <c r="BO659" s="2289"/>
      <c r="BP659" s="2289"/>
      <c r="BQ659" s="2289"/>
      <c r="BR659" s="2289"/>
    </row>
    <row r="660" spans="1:70" ht="15.75" customHeight="1">
      <c r="A660" s="2289"/>
      <c r="B660" s="2289"/>
      <c r="C660" s="2289"/>
      <c r="D660" s="2289"/>
      <c r="E660" s="2289"/>
      <c r="F660" s="2289"/>
      <c r="G660" s="2290"/>
      <c r="H660" s="2289"/>
      <c r="I660" s="2289"/>
      <c r="J660" s="2290"/>
      <c r="K660" s="2289"/>
      <c r="L660" s="2289"/>
      <c r="M660" s="2290"/>
      <c r="N660" s="2290"/>
      <c r="O660" s="2290"/>
      <c r="P660" s="2290"/>
      <c r="Q660" s="2289"/>
      <c r="R660" s="2289"/>
      <c r="S660" s="2289"/>
      <c r="T660" s="2291"/>
      <c r="U660" s="2289"/>
      <c r="V660" s="2289"/>
      <c r="W660" s="2289"/>
      <c r="X660" s="2292"/>
      <c r="Y660" s="2292"/>
      <c r="Z660" s="2289"/>
      <c r="AA660" s="2289"/>
      <c r="AB660" s="2289"/>
      <c r="AC660" s="2289"/>
      <c r="AD660" s="2293"/>
      <c r="AE660" s="2293"/>
      <c r="AF660" s="2293"/>
      <c r="AG660" s="2293"/>
      <c r="AH660" s="2289"/>
      <c r="AI660" s="2289"/>
      <c r="AJ660" s="2294"/>
      <c r="AK660" s="2294"/>
      <c r="AL660" s="2289"/>
      <c r="AM660" s="2289"/>
      <c r="AN660" s="2289"/>
      <c r="AO660" s="2289"/>
      <c r="AP660" s="2289"/>
      <c r="AQ660" s="2289"/>
      <c r="AR660" s="2294"/>
      <c r="AS660" s="2294"/>
      <c r="AT660" s="2295"/>
      <c r="AU660" s="2295"/>
      <c r="AV660" s="2295"/>
      <c r="AW660" s="2295"/>
      <c r="AX660" s="2296"/>
      <c r="AY660" s="2289"/>
      <c r="AZ660" s="2289"/>
      <c r="BA660" s="2289"/>
      <c r="BB660" s="2289"/>
      <c r="BC660" s="2289"/>
      <c r="BD660" s="2289"/>
      <c r="BE660" s="2289"/>
      <c r="BF660" s="2289"/>
      <c r="BG660" s="2289"/>
      <c r="BH660" s="2289"/>
      <c r="BI660" s="2289"/>
      <c r="BJ660" s="2289"/>
      <c r="BK660" s="2289"/>
      <c r="BL660" s="2289"/>
      <c r="BM660" s="2289"/>
      <c r="BN660" s="2289"/>
      <c r="BO660" s="2289"/>
      <c r="BP660" s="2289"/>
      <c r="BQ660" s="2289"/>
      <c r="BR660" s="2289"/>
    </row>
    <row r="661" spans="1:70" ht="15.75" customHeight="1">
      <c r="A661" s="2289"/>
      <c r="B661" s="2289"/>
      <c r="C661" s="2289"/>
      <c r="D661" s="2289"/>
      <c r="E661" s="2289"/>
      <c r="F661" s="2289"/>
      <c r="G661" s="2290"/>
      <c r="H661" s="2289"/>
      <c r="I661" s="2289"/>
      <c r="J661" s="2290"/>
      <c r="K661" s="2289"/>
      <c r="L661" s="2289"/>
      <c r="M661" s="2290"/>
      <c r="N661" s="2290"/>
      <c r="O661" s="2290"/>
      <c r="P661" s="2290"/>
      <c r="Q661" s="2289"/>
      <c r="R661" s="2289"/>
      <c r="S661" s="2289"/>
      <c r="T661" s="2291"/>
      <c r="U661" s="2289"/>
      <c r="V661" s="2289"/>
      <c r="W661" s="2289"/>
      <c r="X661" s="2292"/>
      <c r="Y661" s="2292"/>
      <c r="Z661" s="2289"/>
      <c r="AA661" s="2289"/>
      <c r="AB661" s="2289"/>
      <c r="AC661" s="2289"/>
      <c r="AD661" s="2293"/>
      <c r="AE661" s="2293"/>
      <c r="AF661" s="2293"/>
      <c r="AG661" s="2293"/>
      <c r="AH661" s="2289"/>
      <c r="AI661" s="2289"/>
      <c r="AJ661" s="2294"/>
      <c r="AK661" s="2294"/>
      <c r="AL661" s="2289"/>
      <c r="AM661" s="2289"/>
      <c r="AN661" s="2289"/>
      <c r="AO661" s="2289"/>
      <c r="AP661" s="2289"/>
      <c r="AQ661" s="2289"/>
      <c r="AR661" s="2294"/>
      <c r="AS661" s="2294"/>
      <c r="AT661" s="2295"/>
      <c r="AU661" s="2295"/>
      <c r="AV661" s="2295"/>
      <c r="AW661" s="2295"/>
      <c r="AX661" s="2296"/>
      <c r="AY661" s="2289"/>
      <c r="AZ661" s="2289"/>
      <c r="BA661" s="2289"/>
      <c r="BB661" s="2289"/>
      <c r="BC661" s="2289"/>
      <c r="BD661" s="2289"/>
      <c r="BE661" s="2289"/>
      <c r="BF661" s="2289"/>
      <c r="BG661" s="2289"/>
      <c r="BH661" s="2289"/>
      <c r="BI661" s="2289"/>
      <c r="BJ661" s="2289"/>
      <c r="BK661" s="2289"/>
      <c r="BL661" s="2289"/>
      <c r="BM661" s="2289"/>
      <c r="BN661" s="2289"/>
      <c r="BO661" s="2289"/>
      <c r="BP661" s="2289"/>
      <c r="BQ661" s="2289"/>
      <c r="BR661" s="2289"/>
    </row>
    <row r="662" spans="1:70" ht="15.75" customHeight="1">
      <c r="A662" s="2289"/>
      <c r="B662" s="2289"/>
      <c r="C662" s="2289"/>
      <c r="D662" s="2289"/>
      <c r="E662" s="2289"/>
      <c r="F662" s="2289"/>
      <c r="G662" s="2290"/>
      <c r="H662" s="2289"/>
      <c r="I662" s="2289"/>
      <c r="J662" s="2290"/>
      <c r="K662" s="2289"/>
      <c r="L662" s="2289"/>
      <c r="M662" s="2290"/>
      <c r="N662" s="2290"/>
      <c r="O662" s="2290"/>
      <c r="P662" s="2290"/>
      <c r="Q662" s="2289"/>
      <c r="R662" s="2289"/>
      <c r="S662" s="2289"/>
      <c r="T662" s="2291"/>
      <c r="U662" s="2289"/>
      <c r="V662" s="2289"/>
      <c r="W662" s="2289"/>
      <c r="X662" s="2292"/>
      <c r="Y662" s="2292"/>
      <c r="Z662" s="2289"/>
      <c r="AA662" s="2289"/>
      <c r="AB662" s="2289"/>
      <c r="AC662" s="2289"/>
      <c r="AD662" s="2293"/>
      <c r="AE662" s="2293"/>
      <c r="AF662" s="2293"/>
      <c r="AG662" s="2293"/>
      <c r="AH662" s="2289"/>
      <c r="AI662" s="2289"/>
      <c r="AJ662" s="2294"/>
      <c r="AK662" s="2294"/>
      <c r="AL662" s="2289"/>
      <c r="AM662" s="2289"/>
      <c r="AN662" s="2289"/>
      <c r="AO662" s="2289"/>
      <c r="AP662" s="2289"/>
      <c r="AQ662" s="2289"/>
      <c r="AR662" s="2294"/>
      <c r="AS662" s="2294"/>
      <c r="AT662" s="2295"/>
      <c r="AU662" s="2295"/>
      <c r="AV662" s="2295"/>
      <c r="AW662" s="2295"/>
      <c r="AX662" s="2296"/>
      <c r="AY662" s="2289"/>
      <c r="AZ662" s="2289"/>
      <c r="BA662" s="2289"/>
      <c r="BB662" s="2289"/>
      <c r="BC662" s="2289"/>
      <c r="BD662" s="2289"/>
      <c r="BE662" s="2289"/>
      <c r="BF662" s="2289"/>
      <c r="BG662" s="2289"/>
      <c r="BH662" s="2289"/>
      <c r="BI662" s="2289"/>
      <c r="BJ662" s="2289"/>
      <c r="BK662" s="2289"/>
      <c r="BL662" s="2289"/>
      <c r="BM662" s="2289"/>
      <c r="BN662" s="2289"/>
      <c r="BO662" s="2289"/>
      <c r="BP662" s="2289"/>
      <c r="BQ662" s="2289"/>
      <c r="BR662" s="2289"/>
    </row>
    <row r="663" spans="1:70" ht="15.75" customHeight="1">
      <c r="A663" s="2289"/>
      <c r="B663" s="2289"/>
      <c r="C663" s="2289"/>
      <c r="D663" s="2289"/>
      <c r="E663" s="2289"/>
      <c r="F663" s="2289"/>
      <c r="G663" s="2290"/>
      <c r="H663" s="2289"/>
      <c r="I663" s="2289"/>
      <c r="J663" s="2290"/>
      <c r="K663" s="2289"/>
      <c r="L663" s="2289"/>
      <c r="M663" s="2290"/>
      <c r="N663" s="2290"/>
      <c r="O663" s="2290"/>
      <c r="P663" s="2290"/>
      <c r="Q663" s="2289"/>
      <c r="R663" s="2289"/>
      <c r="S663" s="2289"/>
      <c r="T663" s="2291"/>
      <c r="U663" s="2289"/>
      <c r="V663" s="2289"/>
      <c r="W663" s="2289"/>
      <c r="X663" s="2292"/>
      <c r="Y663" s="2292"/>
      <c r="Z663" s="2289"/>
      <c r="AA663" s="2289"/>
      <c r="AB663" s="2289"/>
      <c r="AC663" s="2289"/>
      <c r="AD663" s="2293"/>
      <c r="AE663" s="2293"/>
      <c r="AF663" s="2293"/>
      <c r="AG663" s="2293"/>
      <c r="AH663" s="2289"/>
      <c r="AI663" s="2289"/>
      <c r="AJ663" s="2294"/>
      <c r="AK663" s="2294"/>
      <c r="AL663" s="2289"/>
      <c r="AM663" s="2289"/>
      <c r="AN663" s="2289"/>
      <c r="AO663" s="2289"/>
      <c r="AP663" s="2289"/>
      <c r="AQ663" s="2289"/>
      <c r="AR663" s="2294"/>
      <c r="AS663" s="2294"/>
      <c r="AT663" s="2295"/>
      <c r="AU663" s="2295"/>
      <c r="AV663" s="2295"/>
      <c r="AW663" s="2295"/>
      <c r="AX663" s="2296"/>
      <c r="AY663" s="2289"/>
      <c r="AZ663" s="2289"/>
      <c r="BA663" s="2289"/>
      <c r="BB663" s="2289"/>
      <c r="BC663" s="2289"/>
      <c r="BD663" s="2289"/>
      <c r="BE663" s="2289"/>
      <c r="BF663" s="2289"/>
      <c r="BG663" s="2289"/>
      <c r="BH663" s="2289"/>
      <c r="BI663" s="2289"/>
      <c r="BJ663" s="2289"/>
      <c r="BK663" s="2289"/>
      <c r="BL663" s="2289"/>
      <c r="BM663" s="2289"/>
      <c r="BN663" s="2289"/>
      <c r="BO663" s="2289"/>
      <c r="BP663" s="2289"/>
      <c r="BQ663" s="2289"/>
      <c r="BR663" s="2289"/>
    </row>
    <row r="664" spans="1:70" ht="15.75" customHeight="1">
      <c r="A664" s="2289"/>
      <c r="B664" s="2289"/>
      <c r="C664" s="2289"/>
      <c r="D664" s="2289"/>
      <c r="E664" s="2289"/>
      <c r="F664" s="2289"/>
      <c r="G664" s="2290"/>
      <c r="H664" s="2289"/>
      <c r="I664" s="2289"/>
      <c r="J664" s="2290"/>
      <c r="K664" s="2289"/>
      <c r="L664" s="2289"/>
      <c r="M664" s="2290"/>
      <c r="N664" s="2290"/>
      <c r="O664" s="2290"/>
      <c r="P664" s="2290"/>
      <c r="Q664" s="2289"/>
      <c r="R664" s="2289"/>
      <c r="S664" s="2289"/>
      <c r="T664" s="2291"/>
      <c r="U664" s="2289"/>
      <c r="V664" s="2289"/>
      <c r="W664" s="2289"/>
      <c r="X664" s="2292"/>
      <c r="Y664" s="2292"/>
      <c r="Z664" s="2289"/>
      <c r="AA664" s="2289"/>
      <c r="AB664" s="2289"/>
      <c r="AC664" s="2289"/>
      <c r="AD664" s="2293"/>
      <c r="AE664" s="2293"/>
      <c r="AF664" s="2293"/>
      <c r="AG664" s="2293"/>
      <c r="AH664" s="2289"/>
      <c r="AI664" s="2289"/>
      <c r="AJ664" s="2294"/>
      <c r="AK664" s="2294"/>
      <c r="AL664" s="2289"/>
      <c r="AM664" s="2289"/>
      <c r="AN664" s="2289"/>
      <c r="AO664" s="2289"/>
      <c r="AP664" s="2289"/>
      <c r="AQ664" s="2289"/>
      <c r="AR664" s="2294"/>
      <c r="AS664" s="2294"/>
      <c r="AT664" s="2295"/>
      <c r="AU664" s="2295"/>
      <c r="AV664" s="2295"/>
      <c r="AW664" s="2295"/>
      <c r="AX664" s="2296"/>
      <c r="AY664" s="2289"/>
      <c r="AZ664" s="2289"/>
      <c r="BA664" s="2289"/>
      <c r="BB664" s="2289"/>
      <c r="BC664" s="2289"/>
      <c r="BD664" s="2289"/>
      <c r="BE664" s="2289"/>
      <c r="BF664" s="2289"/>
      <c r="BG664" s="2289"/>
      <c r="BH664" s="2289"/>
      <c r="BI664" s="2289"/>
      <c r="BJ664" s="2289"/>
      <c r="BK664" s="2289"/>
      <c r="BL664" s="2289"/>
      <c r="BM664" s="2289"/>
      <c r="BN664" s="2289"/>
      <c r="BO664" s="2289"/>
      <c r="BP664" s="2289"/>
      <c r="BQ664" s="2289"/>
      <c r="BR664" s="2289"/>
    </row>
    <row r="665" spans="1:70" ht="15.75" customHeight="1">
      <c r="A665" s="2289"/>
      <c r="B665" s="2289"/>
      <c r="C665" s="2289"/>
      <c r="D665" s="2289"/>
      <c r="E665" s="2289"/>
      <c r="F665" s="2289"/>
      <c r="G665" s="2290"/>
      <c r="H665" s="2289"/>
      <c r="I665" s="2289"/>
      <c r="J665" s="2290"/>
      <c r="K665" s="2289"/>
      <c r="L665" s="2289"/>
      <c r="M665" s="2290"/>
      <c r="N665" s="2290"/>
      <c r="O665" s="2290"/>
      <c r="P665" s="2290"/>
      <c r="Q665" s="2289"/>
      <c r="R665" s="2289"/>
      <c r="S665" s="2289"/>
      <c r="T665" s="2291"/>
      <c r="U665" s="2289"/>
      <c r="V665" s="2289"/>
      <c r="W665" s="2289"/>
      <c r="X665" s="2292"/>
      <c r="Y665" s="2292"/>
      <c r="Z665" s="2289"/>
      <c r="AA665" s="2289"/>
      <c r="AB665" s="2289"/>
      <c r="AC665" s="2289"/>
      <c r="AD665" s="2293"/>
      <c r="AE665" s="2293"/>
      <c r="AF665" s="2293"/>
      <c r="AG665" s="2293"/>
      <c r="AH665" s="2289"/>
      <c r="AI665" s="2289"/>
      <c r="AJ665" s="2294"/>
      <c r="AK665" s="2294"/>
      <c r="AL665" s="2289"/>
      <c r="AM665" s="2289"/>
      <c r="AN665" s="2289"/>
      <c r="AO665" s="2289"/>
      <c r="AP665" s="2289"/>
      <c r="AQ665" s="2289"/>
      <c r="AR665" s="2294"/>
      <c r="AS665" s="2294"/>
      <c r="AT665" s="2295"/>
      <c r="AU665" s="2295"/>
      <c r="AV665" s="2295"/>
      <c r="AW665" s="2295"/>
      <c r="AX665" s="2296"/>
      <c r="AY665" s="2289"/>
      <c r="AZ665" s="2289"/>
      <c r="BA665" s="2289"/>
      <c r="BB665" s="2289"/>
      <c r="BC665" s="2289"/>
      <c r="BD665" s="2289"/>
      <c r="BE665" s="2289"/>
      <c r="BF665" s="2289"/>
      <c r="BG665" s="2289"/>
      <c r="BH665" s="2289"/>
      <c r="BI665" s="2289"/>
      <c r="BJ665" s="2289"/>
      <c r="BK665" s="2289"/>
      <c r="BL665" s="2289"/>
      <c r="BM665" s="2289"/>
      <c r="BN665" s="2289"/>
      <c r="BO665" s="2289"/>
      <c r="BP665" s="2289"/>
      <c r="BQ665" s="2289"/>
      <c r="BR665" s="2289"/>
    </row>
    <row r="666" spans="1:70" ht="15.75" customHeight="1">
      <c r="A666" s="2289"/>
      <c r="B666" s="2289"/>
      <c r="C666" s="2289"/>
      <c r="D666" s="2289"/>
      <c r="E666" s="2289"/>
      <c r="F666" s="2289"/>
      <c r="G666" s="2290"/>
      <c r="H666" s="2289"/>
      <c r="I666" s="2289"/>
      <c r="J666" s="2290"/>
      <c r="K666" s="2289"/>
      <c r="L666" s="2289"/>
      <c r="M666" s="2290"/>
      <c r="N666" s="2290"/>
      <c r="O666" s="2290"/>
      <c r="P666" s="2290"/>
      <c r="Q666" s="2289"/>
      <c r="R666" s="2289"/>
      <c r="S666" s="2289"/>
      <c r="T666" s="2291"/>
      <c r="U666" s="2289"/>
      <c r="V666" s="2289"/>
      <c r="W666" s="2289"/>
      <c r="X666" s="2292"/>
      <c r="Y666" s="2292"/>
      <c r="Z666" s="2289"/>
      <c r="AA666" s="2289"/>
      <c r="AB666" s="2289"/>
      <c r="AC666" s="2289"/>
      <c r="AD666" s="2293"/>
      <c r="AE666" s="2293"/>
      <c r="AF666" s="2293"/>
      <c r="AG666" s="2293"/>
      <c r="AH666" s="2289"/>
      <c r="AI666" s="2289"/>
      <c r="AJ666" s="2294"/>
      <c r="AK666" s="2294"/>
      <c r="AL666" s="2289"/>
      <c r="AM666" s="2289"/>
      <c r="AN666" s="2289"/>
      <c r="AO666" s="2289"/>
      <c r="AP666" s="2289"/>
      <c r="AQ666" s="2289"/>
      <c r="AR666" s="2294"/>
      <c r="AS666" s="2294"/>
      <c r="AT666" s="2295"/>
      <c r="AU666" s="2295"/>
      <c r="AV666" s="2295"/>
      <c r="AW666" s="2295"/>
      <c r="AX666" s="2296"/>
      <c r="AY666" s="2289"/>
      <c r="AZ666" s="2289"/>
      <c r="BA666" s="2289"/>
      <c r="BB666" s="2289"/>
      <c r="BC666" s="2289"/>
      <c r="BD666" s="2289"/>
      <c r="BE666" s="2289"/>
      <c r="BF666" s="2289"/>
      <c r="BG666" s="2289"/>
      <c r="BH666" s="2289"/>
      <c r="BI666" s="2289"/>
      <c r="BJ666" s="2289"/>
      <c r="BK666" s="2289"/>
      <c r="BL666" s="2289"/>
      <c r="BM666" s="2289"/>
      <c r="BN666" s="2289"/>
      <c r="BO666" s="2289"/>
      <c r="BP666" s="2289"/>
      <c r="BQ666" s="2289"/>
      <c r="BR666" s="2289"/>
    </row>
    <row r="667" spans="1:70" ht="15.75" customHeight="1">
      <c r="A667" s="2289"/>
      <c r="B667" s="2289"/>
      <c r="C667" s="2289"/>
      <c r="D667" s="2289"/>
      <c r="E667" s="2289"/>
      <c r="F667" s="2289"/>
      <c r="G667" s="2290"/>
      <c r="H667" s="2289"/>
      <c r="I667" s="2289"/>
      <c r="J667" s="2290"/>
      <c r="K667" s="2289"/>
      <c r="L667" s="2289"/>
      <c r="M667" s="2290"/>
      <c r="N667" s="2290"/>
      <c r="O667" s="2290"/>
      <c r="P667" s="2290"/>
      <c r="Q667" s="2289"/>
      <c r="R667" s="2289"/>
      <c r="S667" s="2289"/>
      <c r="T667" s="2291"/>
      <c r="U667" s="2289"/>
      <c r="V667" s="2289"/>
      <c r="W667" s="2289"/>
      <c r="X667" s="2292"/>
      <c r="Y667" s="2292"/>
      <c r="Z667" s="2289"/>
      <c r="AA667" s="2289"/>
      <c r="AB667" s="2289"/>
      <c r="AC667" s="2289"/>
      <c r="AD667" s="2293"/>
      <c r="AE667" s="2293"/>
      <c r="AF667" s="2293"/>
      <c r="AG667" s="2293"/>
      <c r="AH667" s="2289"/>
      <c r="AI667" s="2289"/>
      <c r="AJ667" s="2294"/>
      <c r="AK667" s="2294"/>
      <c r="AL667" s="2289"/>
      <c r="AM667" s="2289"/>
      <c r="AN667" s="2289"/>
      <c r="AO667" s="2289"/>
      <c r="AP667" s="2289"/>
      <c r="AQ667" s="2289"/>
      <c r="AR667" s="2294"/>
      <c r="AS667" s="2294"/>
      <c r="AT667" s="2295"/>
      <c r="AU667" s="2295"/>
      <c r="AV667" s="2295"/>
      <c r="AW667" s="2295"/>
      <c r="AX667" s="2296"/>
      <c r="AY667" s="2289"/>
      <c r="AZ667" s="2289"/>
      <c r="BA667" s="2289"/>
      <c r="BB667" s="2289"/>
      <c r="BC667" s="2289"/>
      <c r="BD667" s="2289"/>
      <c r="BE667" s="2289"/>
      <c r="BF667" s="2289"/>
      <c r="BG667" s="2289"/>
      <c r="BH667" s="2289"/>
      <c r="BI667" s="2289"/>
      <c r="BJ667" s="2289"/>
      <c r="BK667" s="2289"/>
      <c r="BL667" s="2289"/>
      <c r="BM667" s="2289"/>
      <c r="BN667" s="2289"/>
      <c r="BO667" s="2289"/>
      <c r="BP667" s="2289"/>
      <c r="BQ667" s="2289"/>
      <c r="BR667" s="2289"/>
    </row>
    <row r="668" spans="1:70" ht="15.75" customHeight="1">
      <c r="A668" s="2289"/>
      <c r="B668" s="2289"/>
      <c r="C668" s="2289"/>
      <c r="D668" s="2289"/>
      <c r="E668" s="2289"/>
      <c r="F668" s="2289"/>
      <c r="G668" s="2290"/>
      <c r="H668" s="2289"/>
      <c r="I668" s="2289"/>
      <c r="J668" s="2290"/>
      <c r="K668" s="2289"/>
      <c r="L668" s="2289"/>
      <c r="M668" s="2290"/>
      <c r="N668" s="2290"/>
      <c r="O668" s="2290"/>
      <c r="P668" s="2290"/>
      <c r="Q668" s="2289"/>
      <c r="R668" s="2289"/>
      <c r="S668" s="2289"/>
      <c r="T668" s="2291"/>
      <c r="U668" s="2289"/>
      <c r="V668" s="2289"/>
      <c r="W668" s="2289"/>
      <c r="X668" s="2292"/>
      <c r="Y668" s="2292"/>
      <c r="Z668" s="2289"/>
      <c r="AA668" s="2289"/>
      <c r="AB668" s="2289"/>
      <c r="AC668" s="2289"/>
      <c r="AD668" s="2293"/>
      <c r="AE668" s="2293"/>
      <c r="AF668" s="2293"/>
      <c r="AG668" s="2293"/>
      <c r="AH668" s="2289"/>
      <c r="AI668" s="2289"/>
      <c r="AJ668" s="2294"/>
      <c r="AK668" s="2294"/>
      <c r="AL668" s="2289"/>
      <c r="AM668" s="2289"/>
      <c r="AN668" s="2289"/>
      <c r="AO668" s="2289"/>
      <c r="AP668" s="2289"/>
      <c r="AQ668" s="2289"/>
      <c r="AR668" s="2294"/>
      <c r="AS668" s="2294"/>
      <c r="AT668" s="2295"/>
      <c r="AU668" s="2295"/>
      <c r="AV668" s="2295"/>
      <c r="AW668" s="2295"/>
      <c r="AX668" s="2296"/>
      <c r="AY668" s="2289"/>
      <c r="AZ668" s="2289"/>
      <c r="BA668" s="2289"/>
      <c r="BB668" s="2289"/>
      <c r="BC668" s="2289"/>
      <c r="BD668" s="2289"/>
      <c r="BE668" s="2289"/>
      <c r="BF668" s="2289"/>
      <c r="BG668" s="2289"/>
      <c r="BH668" s="2289"/>
      <c r="BI668" s="2289"/>
      <c r="BJ668" s="2289"/>
      <c r="BK668" s="2289"/>
      <c r="BL668" s="2289"/>
      <c r="BM668" s="2289"/>
      <c r="BN668" s="2289"/>
      <c r="BO668" s="2289"/>
      <c r="BP668" s="2289"/>
      <c r="BQ668" s="2289"/>
      <c r="BR668" s="2289"/>
    </row>
    <row r="669" spans="1:70" ht="15.75" customHeight="1">
      <c r="A669" s="2289"/>
      <c r="B669" s="2289"/>
      <c r="C669" s="2289"/>
      <c r="D669" s="2289"/>
      <c r="E669" s="2289"/>
      <c r="F669" s="2289"/>
      <c r="G669" s="2290"/>
      <c r="H669" s="2289"/>
      <c r="I669" s="2289"/>
      <c r="J669" s="2290"/>
      <c r="K669" s="2289"/>
      <c r="L669" s="2289"/>
      <c r="M669" s="2290"/>
      <c r="N669" s="2290"/>
      <c r="O669" s="2290"/>
      <c r="P669" s="2290"/>
      <c r="Q669" s="2289"/>
      <c r="R669" s="2289"/>
      <c r="S669" s="2289"/>
      <c r="T669" s="2291"/>
      <c r="U669" s="2289"/>
      <c r="V669" s="2289"/>
      <c r="W669" s="2289"/>
      <c r="X669" s="2292"/>
      <c r="Y669" s="2292"/>
      <c r="Z669" s="2289"/>
      <c r="AA669" s="2289"/>
      <c r="AB669" s="2289"/>
      <c r="AC669" s="2289"/>
      <c r="AD669" s="2293"/>
      <c r="AE669" s="2293"/>
      <c r="AF669" s="2293"/>
      <c r="AG669" s="2293"/>
      <c r="AH669" s="2289"/>
      <c r="AI669" s="2289"/>
      <c r="AJ669" s="2294"/>
      <c r="AK669" s="2294"/>
      <c r="AL669" s="2289"/>
      <c r="AM669" s="2289"/>
      <c r="AN669" s="2289"/>
      <c r="AO669" s="2289"/>
      <c r="AP669" s="2289"/>
      <c r="AQ669" s="2289"/>
      <c r="AR669" s="2294"/>
      <c r="AS669" s="2294"/>
      <c r="AT669" s="2295"/>
      <c r="AU669" s="2295"/>
      <c r="AV669" s="2295"/>
      <c r="AW669" s="2295"/>
      <c r="AX669" s="2296"/>
      <c r="AY669" s="2289"/>
      <c r="AZ669" s="2289"/>
      <c r="BA669" s="2289"/>
      <c r="BB669" s="2289"/>
      <c r="BC669" s="2289"/>
      <c r="BD669" s="2289"/>
      <c r="BE669" s="2289"/>
      <c r="BF669" s="2289"/>
      <c r="BG669" s="2289"/>
      <c r="BH669" s="2289"/>
      <c r="BI669" s="2289"/>
      <c r="BJ669" s="2289"/>
      <c r="BK669" s="2289"/>
      <c r="BL669" s="2289"/>
      <c r="BM669" s="2289"/>
      <c r="BN669" s="2289"/>
      <c r="BO669" s="2289"/>
      <c r="BP669" s="2289"/>
      <c r="BQ669" s="2289"/>
      <c r="BR669" s="2289"/>
    </row>
    <row r="670" spans="1:70" ht="15.75" customHeight="1">
      <c r="A670" s="2289"/>
      <c r="B670" s="2289"/>
      <c r="C670" s="2289"/>
      <c r="D670" s="2289"/>
      <c r="E670" s="2289"/>
      <c r="F670" s="2289"/>
      <c r="G670" s="2290"/>
      <c r="H670" s="2289"/>
      <c r="I670" s="2289"/>
      <c r="J670" s="2290"/>
      <c r="K670" s="2289"/>
      <c r="L670" s="2289"/>
      <c r="M670" s="2290"/>
      <c r="N670" s="2290"/>
      <c r="O670" s="2290"/>
      <c r="P670" s="2290"/>
      <c r="Q670" s="2289"/>
      <c r="R670" s="2289"/>
      <c r="S670" s="2289"/>
      <c r="T670" s="2291"/>
      <c r="U670" s="2289"/>
      <c r="V670" s="2289"/>
      <c r="W670" s="2289"/>
      <c r="X670" s="2292"/>
      <c r="Y670" s="2292"/>
      <c r="Z670" s="2289"/>
      <c r="AA670" s="2289"/>
      <c r="AB670" s="2289"/>
      <c r="AC670" s="2289"/>
      <c r="AD670" s="2293"/>
      <c r="AE670" s="2293"/>
      <c r="AF670" s="2293"/>
      <c r="AG670" s="2293"/>
      <c r="AH670" s="2289"/>
      <c r="AI670" s="2289"/>
      <c r="AJ670" s="2294"/>
      <c r="AK670" s="2294"/>
      <c r="AL670" s="2289"/>
      <c r="AM670" s="2289"/>
      <c r="AN670" s="2289"/>
      <c r="AO670" s="2289"/>
      <c r="AP670" s="2289"/>
      <c r="AQ670" s="2289"/>
      <c r="AR670" s="2294"/>
      <c r="AS670" s="2294"/>
      <c r="AT670" s="2295"/>
      <c r="AU670" s="2295"/>
      <c r="AV670" s="2295"/>
      <c r="AW670" s="2295"/>
      <c r="AX670" s="2296"/>
      <c r="AY670" s="2289"/>
      <c r="AZ670" s="2289"/>
      <c r="BA670" s="2289"/>
      <c r="BB670" s="2289"/>
      <c r="BC670" s="2289"/>
      <c r="BD670" s="2289"/>
      <c r="BE670" s="2289"/>
      <c r="BF670" s="2289"/>
      <c r="BG670" s="2289"/>
      <c r="BH670" s="2289"/>
      <c r="BI670" s="2289"/>
      <c r="BJ670" s="2289"/>
      <c r="BK670" s="2289"/>
      <c r="BL670" s="2289"/>
      <c r="BM670" s="2289"/>
      <c r="BN670" s="2289"/>
      <c r="BO670" s="2289"/>
      <c r="BP670" s="2289"/>
      <c r="BQ670" s="2289"/>
      <c r="BR670" s="2289"/>
    </row>
    <row r="671" spans="1:70" ht="15.75" customHeight="1">
      <c r="A671" s="2289"/>
      <c r="B671" s="2289"/>
      <c r="C671" s="2289"/>
      <c r="D671" s="2289"/>
      <c r="E671" s="2289"/>
      <c r="F671" s="2289"/>
      <c r="G671" s="2290"/>
      <c r="H671" s="2289"/>
      <c r="I671" s="2289"/>
      <c r="J671" s="2290"/>
      <c r="K671" s="2289"/>
      <c r="L671" s="2289"/>
      <c r="M671" s="2290"/>
      <c r="N671" s="2290"/>
      <c r="O671" s="2290"/>
      <c r="P671" s="2290"/>
      <c r="Q671" s="2289"/>
      <c r="R671" s="2289"/>
      <c r="S671" s="2289"/>
      <c r="T671" s="2291"/>
      <c r="U671" s="2289"/>
      <c r="V671" s="2289"/>
      <c r="W671" s="2289"/>
      <c r="X671" s="2292"/>
      <c r="Y671" s="2292"/>
      <c r="Z671" s="2289"/>
      <c r="AA671" s="2289"/>
      <c r="AB671" s="2289"/>
      <c r="AC671" s="2289"/>
      <c r="AD671" s="2293"/>
      <c r="AE671" s="2293"/>
      <c r="AF671" s="2293"/>
      <c r="AG671" s="2293"/>
      <c r="AH671" s="2289"/>
      <c r="AI671" s="2289"/>
      <c r="AJ671" s="2294"/>
      <c r="AK671" s="2294"/>
      <c r="AL671" s="2289"/>
      <c r="AM671" s="2289"/>
      <c r="AN671" s="2289"/>
      <c r="AO671" s="2289"/>
      <c r="AP671" s="2289"/>
      <c r="AQ671" s="2289"/>
      <c r="AR671" s="2294"/>
      <c r="AS671" s="2294"/>
      <c r="AT671" s="2295"/>
      <c r="AU671" s="2295"/>
      <c r="AV671" s="2295"/>
      <c r="AW671" s="2295"/>
      <c r="AX671" s="2296"/>
      <c r="AY671" s="2289"/>
      <c r="AZ671" s="2289"/>
      <c r="BA671" s="2289"/>
      <c r="BB671" s="2289"/>
      <c r="BC671" s="2289"/>
      <c r="BD671" s="2289"/>
      <c r="BE671" s="2289"/>
      <c r="BF671" s="2289"/>
      <c r="BG671" s="2289"/>
      <c r="BH671" s="2289"/>
      <c r="BI671" s="2289"/>
      <c r="BJ671" s="2289"/>
      <c r="BK671" s="2289"/>
      <c r="BL671" s="2289"/>
      <c r="BM671" s="2289"/>
      <c r="BN671" s="2289"/>
      <c r="BO671" s="2289"/>
      <c r="BP671" s="2289"/>
      <c r="BQ671" s="2289"/>
      <c r="BR671" s="2289"/>
    </row>
    <row r="672" spans="1:70" ht="15.75" customHeight="1">
      <c r="A672" s="2289"/>
      <c r="B672" s="2289"/>
      <c r="C672" s="2289"/>
      <c r="D672" s="2289"/>
      <c r="E672" s="2289"/>
      <c r="F672" s="2289"/>
      <c r="G672" s="2290"/>
      <c r="H672" s="2289"/>
      <c r="I672" s="2289"/>
      <c r="J672" s="2290"/>
      <c r="K672" s="2289"/>
      <c r="L672" s="2289"/>
      <c r="M672" s="2290"/>
      <c r="N672" s="2290"/>
      <c r="O672" s="2290"/>
      <c r="P672" s="2290"/>
      <c r="Q672" s="2289"/>
      <c r="R672" s="2289"/>
      <c r="S672" s="2289"/>
      <c r="T672" s="2291"/>
      <c r="U672" s="2289"/>
      <c r="V672" s="2289"/>
      <c r="W672" s="2289"/>
      <c r="X672" s="2292"/>
      <c r="Y672" s="2292"/>
      <c r="Z672" s="2289"/>
      <c r="AA672" s="2289"/>
      <c r="AB672" s="2289"/>
      <c r="AC672" s="2289"/>
      <c r="AD672" s="2293"/>
      <c r="AE672" s="2293"/>
      <c r="AF672" s="2293"/>
      <c r="AG672" s="2293"/>
      <c r="AH672" s="2289"/>
      <c r="AI672" s="2289"/>
      <c r="AJ672" s="2294"/>
      <c r="AK672" s="2294"/>
      <c r="AL672" s="2289"/>
      <c r="AM672" s="2289"/>
      <c r="AN672" s="2289"/>
      <c r="AO672" s="2289"/>
      <c r="AP672" s="2289"/>
      <c r="AQ672" s="2289"/>
      <c r="AR672" s="2294"/>
      <c r="AS672" s="2294"/>
      <c r="AT672" s="2295"/>
      <c r="AU672" s="2295"/>
      <c r="AV672" s="2295"/>
      <c r="AW672" s="2295"/>
      <c r="AX672" s="2296"/>
      <c r="AY672" s="2289"/>
      <c r="AZ672" s="2289"/>
      <c r="BA672" s="2289"/>
      <c r="BB672" s="2289"/>
      <c r="BC672" s="2289"/>
      <c r="BD672" s="2289"/>
      <c r="BE672" s="2289"/>
      <c r="BF672" s="2289"/>
      <c r="BG672" s="2289"/>
      <c r="BH672" s="2289"/>
      <c r="BI672" s="2289"/>
      <c r="BJ672" s="2289"/>
      <c r="BK672" s="2289"/>
      <c r="BL672" s="2289"/>
      <c r="BM672" s="2289"/>
      <c r="BN672" s="2289"/>
      <c r="BO672" s="2289"/>
      <c r="BP672" s="2289"/>
      <c r="BQ672" s="2289"/>
      <c r="BR672" s="2289"/>
    </row>
    <row r="673" spans="1:70" ht="15.75" customHeight="1">
      <c r="A673" s="2289"/>
      <c r="B673" s="2289"/>
      <c r="C673" s="2289"/>
      <c r="D673" s="2289"/>
      <c r="E673" s="2289"/>
      <c r="F673" s="2289"/>
      <c r="G673" s="2290"/>
      <c r="H673" s="2289"/>
      <c r="I673" s="2289"/>
      <c r="J673" s="2290"/>
      <c r="K673" s="2289"/>
      <c r="L673" s="2289"/>
      <c r="M673" s="2290"/>
      <c r="N673" s="2290"/>
      <c r="O673" s="2290"/>
      <c r="P673" s="2290"/>
      <c r="Q673" s="2289"/>
      <c r="R673" s="2289"/>
      <c r="S673" s="2289"/>
      <c r="T673" s="2291"/>
      <c r="U673" s="2289"/>
      <c r="V673" s="2289"/>
      <c r="W673" s="2289"/>
      <c r="X673" s="2292"/>
      <c r="Y673" s="2292"/>
      <c r="Z673" s="2289"/>
      <c r="AA673" s="2289"/>
      <c r="AB673" s="2289"/>
      <c r="AC673" s="2289"/>
      <c r="AD673" s="2293"/>
      <c r="AE673" s="2293"/>
      <c r="AF673" s="2293"/>
      <c r="AG673" s="2293"/>
      <c r="AH673" s="2289"/>
      <c r="AI673" s="2289"/>
      <c r="AJ673" s="2294"/>
      <c r="AK673" s="2294"/>
      <c r="AL673" s="2289"/>
      <c r="AM673" s="2289"/>
      <c r="AN673" s="2289"/>
      <c r="AO673" s="2289"/>
      <c r="AP673" s="2289"/>
      <c r="AQ673" s="2289"/>
      <c r="AR673" s="2294"/>
      <c r="AS673" s="2294"/>
      <c r="AT673" s="2295"/>
      <c r="AU673" s="2295"/>
      <c r="AV673" s="2295"/>
      <c r="AW673" s="2295"/>
      <c r="AX673" s="2296"/>
      <c r="AY673" s="2289"/>
      <c r="AZ673" s="2289"/>
      <c r="BA673" s="2289"/>
      <c r="BB673" s="2289"/>
      <c r="BC673" s="2289"/>
      <c r="BD673" s="2289"/>
      <c r="BE673" s="2289"/>
      <c r="BF673" s="2289"/>
      <c r="BG673" s="2289"/>
      <c r="BH673" s="2289"/>
      <c r="BI673" s="2289"/>
      <c r="BJ673" s="2289"/>
      <c r="BK673" s="2289"/>
      <c r="BL673" s="2289"/>
      <c r="BM673" s="2289"/>
      <c r="BN673" s="2289"/>
      <c r="BO673" s="2289"/>
      <c r="BP673" s="2289"/>
      <c r="BQ673" s="2289"/>
      <c r="BR673" s="2289"/>
    </row>
    <row r="674" spans="1:70" ht="15.75" customHeight="1">
      <c r="A674" s="2289"/>
      <c r="B674" s="2289"/>
      <c r="C674" s="2289"/>
      <c r="D674" s="2289"/>
      <c r="E674" s="2289"/>
      <c r="F674" s="2289"/>
      <c r="G674" s="2290"/>
      <c r="H674" s="2289"/>
      <c r="I674" s="2289"/>
      <c r="J674" s="2290"/>
      <c r="K674" s="2289"/>
      <c r="L674" s="2289"/>
      <c r="M674" s="2290"/>
      <c r="N674" s="2290"/>
      <c r="O674" s="2290"/>
      <c r="P674" s="2290"/>
      <c r="Q674" s="2289"/>
      <c r="R674" s="2289"/>
      <c r="S674" s="2289"/>
      <c r="T674" s="2291"/>
      <c r="U674" s="2289"/>
      <c r="V674" s="2289"/>
      <c r="W674" s="2289"/>
      <c r="X674" s="2292"/>
      <c r="Y674" s="2292"/>
      <c r="Z674" s="2289"/>
      <c r="AA674" s="2289"/>
      <c r="AB674" s="2289"/>
      <c r="AC674" s="2289"/>
      <c r="AD674" s="2293"/>
      <c r="AE674" s="2293"/>
      <c r="AF674" s="2293"/>
      <c r="AG674" s="2293"/>
      <c r="AH674" s="2289"/>
      <c r="AI674" s="2289"/>
      <c r="AJ674" s="2294"/>
      <c r="AK674" s="2294"/>
      <c r="AL674" s="2289"/>
      <c r="AM674" s="2289"/>
      <c r="AN674" s="2289"/>
      <c r="AO674" s="2289"/>
      <c r="AP674" s="2289"/>
      <c r="AQ674" s="2289"/>
      <c r="AR674" s="2294"/>
      <c r="AS674" s="2294"/>
      <c r="AT674" s="2295"/>
      <c r="AU674" s="2295"/>
      <c r="AV674" s="2295"/>
      <c r="AW674" s="2295"/>
      <c r="AX674" s="2296"/>
      <c r="AY674" s="2289"/>
      <c r="AZ674" s="2289"/>
      <c r="BA674" s="2289"/>
      <c r="BB674" s="2289"/>
      <c r="BC674" s="2289"/>
      <c r="BD674" s="2289"/>
      <c r="BE674" s="2289"/>
      <c r="BF674" s="2289"/>
      <c r="BG674" s="2289"/>
      <c r="BH674" s="2289"/>
      <c r="BI674" s="2289"/>
      <c r="BJ674" s="2289"/>
      <c r="BK674" s="2289"/>
      <c r="BL674" s="2289"/>
      <c r="BM674" s="2289"/>
      <c r="BN674" s="2289"/>
      <c r="BO674" s="2289"/>
      <c r="BP674" s="2289"/>
      <c r="BQ674" s="2289"/>
      <c r="BR674" s="2289"/>
    </row>
    <row r="675" spans="1:70" ht="15.75" customHeight="1">
      <c r="A675" s="2289"/>
      <c r="B675" s="2289"/>
      <c r="C675" s="2289"/>
      <c r="D675" s="2289"/>
      <c r="E675" s="2289"/>
      <c r="F675" s="2289"/>
      <c r="G675" s="2290"/>
      <c r="H675" s="2289"/>
      <c r="I675" s="2289"/>
      <c r="J675" s="2290"/>
      <c r="K675" s="2289"/>
      <c r="L675" s="2289"/>
      <c r="M675" s="2290"/>
      <c r="N675" s="2290"/>
      <c r="O675" s="2290"/>
      <c r="P675" s="2290"/>
      <c r="Q675" s="2289"/>
      <c r="R675" s="2289"/>
      <c r="S675" s="2289"/>
      <c r="T675" s="2291"/>
      <c r="U675" s="2289"/>
      <c r="V675" s="2289"/>
      <c r="W675" s="2289"/>
      <c r="X675" s="2292"/>
      <c r="Y675" s="2292"/>
      <c r="Z675" s="2289"/>
      <c r="AA675" s="2289"/>
      <c r="AB675" s="2289"/>
      <c r="AC675" s="2289"/>
      <c r="AD675" s="2293"/>
      <c r="AE675" s="2293"/>
      <c r="AF675" s="2293"/>
      <c r="AG675" s="2293"/>
      <c r="AH675" s="2289"/>
      <c r="AI675" s="2289"/>
      <c r="AJ675" s="2294"/>
      <c r="AK675" s="2294"/>
      <c r="AL675" s="2289"/>
      <c r="AM675" s="2289"/>
      <c r="AN675" s="2289"/>
      <c r="AO675" s="2289"/>
      <c r="AP675" s="2289"/>
      <c r="AQ675" s="2289"/>
      <c r="AR675" s="2294"/>
      <c r="AS675" s="2294"/>
      <c r="AT675" s="2295"/>
      <c r="AU675" s="2295"/>
      <c r="AV675" s="2295"/>
      <c r="AW675" s="2295"/>
      <c r="AX675" s="2296"/>
      <c r="AY675" s="2289"/>
      <c r="AZ675" s="2289"/>
      <c r="BA675" s="2289"/>
      <c r="BB675" s="2289"/>
      <c r="BC675" s="2289"/>
      <c r="BD675" s="2289"/>
      <c r="BE675" s="2289"/>
      <c r="BF675" s="2289"/>
      <c r="BG675" s="2289"/>
      <c r="BH675" s="2289"/>
      <c r="BI675" s="2289"/>
      <c r="BJ675" s="2289"/>
      <c r="BK675" s="2289"/>
      <c r="BL675" s="2289"/>
      <c r="BM675" s="2289"/>
      <c r="BN675" s="2289"/>
      <c r="BO675" s="2289"/>
      <c r="BP675" s="2289"/>
      <c r="BQ675" s="2289"/>
      <c r="BR675" s="2289"/>
    </row>
    <row r="676" spans="1:70" ht="15.75" customHeight="1">
      <c r="A676" s="2289"/>
      <c r="B676" s="2289"/>
      <c r="C676" s="2289"/>
      <c r="D676" s="2289"/>
      <c r="E676" s="2289"/>
      <c r="F676" s="2289"/>
      <c r="G676" s="2290"/>
      <c r="H676" s="2289"/>
      <c r="I676" s="2289"/>
      <c r="J676" s="2290"/>
      <c r="K676" s="2289"/>
      <c r="L676" s="2289"/>
      <c r="M676" s="2290"/>
      <c r="N676" s="2290"/>
      <c r="O676" s="2290"/>
      <c r="P676" s="2290"/>
      <c r="Q676" s="2289"/>
      <c r="R676" s="2289"/>
      <c r="S676" s="2289"/>
      <c r="T676" s="2291"/>
      <c r="U676" s="2289"/>
      <c r="V676" s="2289"/>
      <c r="W676" s="2289"/>
      <c r="X676" s="2292"/>
      <c r="Y676" s="2292"/>
      <c r="Z676" s="2289"/>
      <c r="AA676" s="2289"/>
      <c r="AB676" s="2289"/>
      <c r="AC676" s="2289"/>
      <c r="AD676" s="2293"/>
      <c r="AE676" s="2293"/>
      <c r="AF676" s="2293"/>
      <c r="AG676" s="2293"/>
      <c r="AH676" s="2289"/>
      <c r="AI676" s="2289"/>
      <c r="AJ676" s="2294"/>
      <c r="AK676" s="2294"/>
      <c r="AL676" s="2289"/>
      <c r="AM676" s="2289"/>
      <c r="AN676" s="2289"/>
      <c r="AO676" s="2289"/>
      <c r="AP676" s="2289"/>
      <c r="AQ676" s="2289"/>
      <c r="AR676" s="2294"/>
      <c r="AS676" s="2294"/>
      <c r="AT676" s="2295"/>
      <c r="AU676" s="2295"/>
      <c r="AV676" s="2295"/>
      <c r="AW676" s="2295"/>
      <c r="AX676" s="2296"/>
      <c r="AY676" s="2289"/>
      <c r="AZ676" s="2289"/>
      <c r="BA676" s="2289"/>
      <c r="BB676" s="2289"/>
      <c r="BC676" s="2289"/>
      <c r="BD676" s="2289"/>
      <c r="BE676" s="2289"/>
      <c r="BF676" s="2289"/>
      <c r="BG676" s="2289"/>
      <c r="BH676" s="2289"/>
      <c r="BI676" s="2289"/>
      <c r="BJ676" s="2289"/>
      <c r="BK676" s="2289"/>
      <c r="BL676" s="2289"/>
      <c r="BM676" s="2289"/>
      <c r="BN676" s="2289"/>
      <c r="BO676" s="2289"/>
      <c r="BP676" s="2289"/>
      <c r="BQ676" s="2289"/>
      <c r="BR676" s="2289"/>
    </row>
    <row r="677" spans="1:70" ht="15.75" customHeight="1">
      <c r="A677" s="2289"/>
      <c r="B677" s="2289"/>
      <c r="C677" s="2289"/>
      <c r="D677" s="2289"/>
      <c r="E677" s="2289"/>
      <c r="F677" s="2289"/>
      <c r="G677" s="2290"/>
      <c r="H677" s="2289"/>
      <c r="I677" s="2289"/>
      <c r="J677" s="2290"/>
      <c r="K677" s="2289"/>
      <c r="L677" s="2289"/>
      <c r="M677" s="2290"/>
      <c r="N677" s="2290"/>
      <c r="O677" s="2290"/>
      <c r="P677" s="2290"/>
      <c r="Q677" s="2289"/>
      <c r="R677" s="2289"/>
      <c r="S677" s="2289"/>
      <c r="T677" s="2291"/>
      <c r="U677" s="2289"/>
      <c r="V677" s="2289"/>
      <c r="W677" s="2289"/>
      <c r="X677" s="2292"/>
      <c r="Y677" s="2292"/>
      <c r="Z677" s="2289"/>
      <c r="AA677" s="2289"/>
      <c r="AB677" s="2289"/>
      <c r="AC677" s="2289"/>
      <c r="AD677" s="2293"/>
      <c r="AE677" s="2293"/>
      <c r="AF677" s="2293"/>
      <c r="AG677" s="2293"/>
      <c r="AH677" s="2289"/>
      <c r="AI677" s="2289"/>
      <c r="AJ677" s="2294"/>
      <c r="AK677" s="2294"/>
      <c r="AL677" s="2289"/>
      <c r="AM677" s="2289"/>
      <c r="AN677" s="2289"/>
      <c r="AO677" s="2289"/>
      <c r="AP677" s="2289"/>
      <c r="AQ677" s="2289"/>
      <c r="AR677" s="2294"/>
      <c r="AS677" s="2294"/>
      <c r="AT677" s="2295"/>
      <c r="AU677" s="2295"/>
      <c r="AV677" s="2295"/>
      <c r="AW677" s="2295"/>
      <c r="AX677" s="2296"/>
      <c r="AY677" s="2289"/>
      <c r="AZ677" s="2289"/>
      <c r="BA677" s="2289"/>
      <c r="BB677" s="2289"/>
      <c r="BC677" s="2289"/>
      <c r="BD677" s="2289"/>
      <c r="BE677" s="2289"/>
      <c r="BF677" s="2289"/>
      <c r="BG677" s="2289"/>
      <c r="BH677" s="2289"/>
      <c r="BI677" s="2289"/>
      <c r="BJ677" s="2289"/>
      <c r="BK677" s="2289"/>
      <c r="BL677" s="2289"/>
      <c r="BM677" s="2289"/>
      <c r="BN677" s="2289"/>
      <c r="BO677" s="2289"/>
      <c r="BP677" s="2289"/>
      <c r="BQ677" s="2289"/>
      <c r="BR677" s="2289"/>
    </row>
    <row r="678" spans="1:70" ht="15.75" customHeight="1">
      <c r="A678" s="2289"/>
      <c r="B678" s="2289"/>
      <c r="C678" s="2289"/>
      <c r="D678" s="2289"/>
      <c r="E678" s="2289"/>
      <c r="F678" s="2289"/>
      <c r="G678" s="2290"/>
      <c r="H678" s="2289"/>
      <c r="I678" s="2289"/>
      <c r="J678" s="2290"/>
      <c r="K678" s="2289"/>
      <c r="L678" s="2289"/>
      <c r="M678" s="2290"/>
      <c r="N678" s="2290"/>
      <c r="O678" s="2290"/>
      <c r="P678" s="2290"/>
      <c r="Q678" s="2289"/>
      <c r="R678" s="2289"/>
      <c r="S678" s="2289"/>
      <c r="T678" s="2291"/>
      <c r="U678" s="2289"/>
      <c r="V678" s="2289"/>
      <c r="W678" s="2289"/>
      <c r="X678" s="2292"/>
      <c r="Y678" s="2292"/>
      <c r="Z678" s="2289"/>
      <c r="AA678" s="2289"/>
      <c r="AB678" s="2289"/>
      <c r="AC678" s="2289"/>
      <c r="AD678" s="2293"/>
      <c r="AE678" s="2293"/>
      <c r="AF678" s="2293"/>
      <c r="AG678" s="2293"/>
      <c r="AH678" s="2289"/>
      <c r="AI678" s="2289"/>
      <c r="AJ678" s="2294"/>
      <c r="AK678" s="2294"/>
      <c r="AL678" s="2289"/>
      <c r="AM678" s="2289"/>
      <c r="AN678" s="2289"/>
      <c r="AO678" s="2289"/>
      <c r="AP678" s="2289"/>
      <c r="AQ678" s="2289"/>
      <c r="AR678" s="2294"/>
      <c r="AS678" s="2294"/>
      <c r="AT678" s="2295"/>
      <c r="AU678" s="2295"/>
      <c r="AV678" s="2295"/>
      <c r="AW678" s="2295"/>
      <c r="AX678" s="2296"/>
      <c r="AY678" s="2289"/>
      <c r="AZ678" s="2289"/>
      <c r="BA678" s="2289"/>
      <c r="BB678" s="2289"/>
      <c r="BC678" s="2289"/>
      <c r="BD678" s="2289"/>
      <c r="BE678" s="2289"/>
      <c r="BF678" s="2289"/>
      <c r="BG678" s="2289"/>
      <c r="BH678" s="2289"/>
      <c r="BI678" s="2289"/>
      <c r="BJ678" s="2289"/>
      <c r="BK678" s="2289"/>
      <c r="BL678" s="2289"/>
      <c r="BM678" s="2289"/>
      <c r="BN678" s="2289"/>
      <c r="BO678" s="2289"/>
      <c r="BP678" s="2289"/>
      <c r="BQ678" s="2289"/>
      <c r="BR678" s="2289"/>
    </row>
    <row r="679" spans="1:70" ht="15.75" customHeight="1">
      <c r="A679" s="2289"/>
      <c r="B679" s="2289"/>
      <c r="C679" s="2289"/>
      <c r="D679" s="2289"/>
      <c r="E679" s="2289"/>
      <c r="F679" s="2289"/>
      <c r="G679" s="2290"/>
      <c r="H679" s="2289"/>
      <c r="I679" s="2289"/>
      <c r="J679" s="2290"/>
      <c r="K679" s="2289"/>
      <c r="L679" s="2289"/>
      <c r="M679" s="2290"/>
      <c r="N679" s="2290"/>
      <c r="O679" s="2290"/>
      <c r="P679" s="2290"/>
      <c r="Q679" s="2289"/>
      <c r="R679" s="2289"/>
      <c r="S679" s="2289"/>
      <c r="T679" s="2291"/>
      <c r="U679" s="2289"/>
      <c r="V679" s="2289"/>
      <c r="W679" s="2289"/>
      <c r="X679" s="2292"/>
      <c r="Y679" s="2292"/>
      <c r="Z679" s="2289"/>
      <c r="AA679" s="2289"/>
      <c r="AB679" s="2289"/>
      <c r="AC679" s="2289"/>
      <c r="AD679" s="2293"/>
      <c r="AE679" s="2293"/>
      <c r="AF679" s="2293"/>
      <c r="AG679" s="2293"/>
      <c r="AH679" s="2289"/>
      <c r="AI679" s="2289"/>
      <c r="AJ679" s="2294"/>
      <c r="AK679" s="2294"/>
      <c r="AL679" s="2289"/>
      <c r="AM679" s="2289"/>
      <c r="AN679" s="2289"/>
      <c r="AO679" s="2289"/>
      <c r="AP679" s="2289"/>
      <c r="AQ679" s="2289"/>
      <c r="AR679" s="2294"/>
      <c r="AS679" s="2294"/>
      <c r="AT679" s="2295"/>
      <c r="AU679" s="2295"/>
      <c r="AV679" s="2295"/>
      <c r="AW679" s="2295"/>
      <c r="AX679" s="2296"/>
      <c r="AY679" s="2289"/>
      <c r="AZ679" s="2289"/>
      <c r="BA679" s="2289"/>
      <c r="BB679" s="2289"/>
      <c r="BC679" s="2289"/>
      <c r="BD679" s="2289"/>
      <c r="BE679" s="2289"/>
      <c r="BF679" s="2289"/>
      <c r="BG679" s="2289"/>
      <c r="BH679" s="2289"/>
      <c r="BI679" s="2289"/>
      <c r="BJ679" s="2289"/>
      <c r="BK679" s="2289"/>
      <c r="BL679" s="2289"/>
      <c r="BM679" s="2289"/>
      <c r="BN679" s="2289"/>
      <c r="BO679" s="2289"/>
      <c r="BP679" s="2289"/>
      <c r="BQ679" s="2289"/>
      <c r="BR679" s="2289"/>
    </row>
    <row r="680" spans="1:70" ht="15.75" customHeight="1">
      <c r="A680" s="2289"/>
      <c r="B680" s="2289"/>
      <c r="C680" s="2289"/>
      <c r="D680" s="2289"/>
      <c r="E680" s="2289"/>
      <c r="F680" s="2289"/>
      <c r="G680" s="2290"/>
      <c r="H680" s="2289"/>
      <c r="I680" s="2289"/>
      <c r="J680" s="2290"/>
      <c r="K680" s="2289"/>
      <c r="L680" s="2289"/>
      <c r="M680" s="2290"/>
      <c r="N680" s="2290"/>
      <c r="O680" s="2290"/>
      <c r="P680" s="2290"/>
      <c r="Q680" s="2289"/>
      <c r="R680" s="2289"/>
      <c r="S680" s="2289"/>
      <c r="T680" s="2291"/>
      <c r="U680" s="2289"/>
      <c r="V680" s="2289"/>
      <c r="W680" s="2289"/>
      <c r="X680" s="2292"/>
      <c r="Y680" s="2292"/>
      <c r="Z680" s="2289"/>
      <c r="AA680" s="2289"/>
      <c r="AB680" s="2289"/>
      <c r="AC680" s="2289"/>
      <c r="AD680" s="2293"/>
      <c r="AE680" s="2293"/>
      <c r="AF680" s="2293"/>
      <c r="AG680" s="2293"/>
      <c r="AH680" s="2289"/>
      <c r="AI680" s="2289"/>
      <c r="AJ680" s="2294"/>
      <c r="AK680" s="2294"/>
      <c r="AL680" s="2289"/>
      <c r="AM680" s="2289"/>
      <c r="AN680" s="2289"/>
      <c r="AO680" s="2289"/>
      <c r="AP680" s="2289"/>
      <c r="AQ680" s="2289"/>
      <c r="AR680" s="2294"/>
      <c r="AS680" s="2294"/>
      <c r="AT680" s="2295"/>
      <c r="AU680" s="2295"/>
      <c r="AV680" s="2295"/>
      <c r="AW680" s="2295"/>
      <c r="AX680" s="2296"/>
      <c r="AY680" s="2289"/>
      <c r="AZ680" s="2289"/>
      <c r="BA680" s="2289"/>
      <c r="BB680" s="2289"/>
      <c r="BC680" s="2289"/>
      <c r="BD680" s="2289"/>
      <c r="BE680" s="2289"/>
      <c r="BF680" s="2289"/>
      <c r="BG680" s="2289"/>
      <c r="BH680" s="2289"/>
      <c r="BI680" s="2289"/>
      <c r="BJ680" s="2289"/>
      <c r="BK680" s="2289"/>
      <c r="BL680" s="2289"/>
      <c r="BM680" s="2289"/>
      <c r="BN680" s="2289"/>
      <c r="BO680" s="2289"/>
      <c r="BP680" s="2289"/>
      <c r="BQ680" s="2289"/>
      <c r="BR680" s="2289"/>
    </row>
    <row r="681" spans="1:70" ht="15.75" customHeight="1">
      <c r="A681" s="2289"/>
      <c r="B681" s="2289"/>
      <c r="C681" s="2289"/>
      <c r="D681" s="2289"/>
      <c r="E681" s="2289"/>
      <c r="F681" s="2289"/>
      <c r="G681" s="2290"/>
      <c r="H681" s="2289"/>
      <c r="I681" s="2289"/>
      <c r="J681" s="2290"/>
      <c r="K681" s="2289"/>
      <c r="L681" s="2289"/>
      <c r="M681" s="2290"/>
      <c r="N681" s="2290"/>
      <c r="O681" s="2290"/>
      <c r="P681" s="2290"/>
      <c r="Q681" s="2289"/>
      <c r="R681" s="2289"/>
      <c r="S681" s="2289"/>
      <c r="T681" s="2291"/>
      <c r="U681" s="2289"/>
      <c r="V681" s="2289"/>
      <c r="W681" s="2289"/>
      <c r="X681" s="2292"/>
      <c r="Y681" s="2292"/>
      <c r="Z681" s="2289"/>
      <c r="AA681" s="2289"/>
      <c r="AB681" s="2289"/>
      <c r="AC681" s="2289"/>
      <c r="AD681" s="2293"/>
      <c r="AE681" s="2293"/>
      <c r="AF681" s="2293"/>
      <c r="AG681" s="2293"/>
      <c r="AH681" s="2289"/>
      <c r="AI681" s="2289"/>
      <c r="AJ681" s="2294"/>
      <c r="AK681" s="2294"/>
      <c r="AL681" s="2289"/>
      <c r="AM681" s="2289"/>
      <c r="AN681" s="2289"/>
      <c r="AO681" s="2289"/>
      <c r="AP681" s="2289"/>
      <c r="AQ681" s="2289"/>
      <c r="AR681" s="2294"/>
      <c r="AS681" s="2294"/>
      <c r="AT681" s="2295"/>
      <c r="AU681" s="2295"/>
      <c r="AV681" s="2295"/>
      <c r="AW681" s="2295"/>
      <c r="AX681" s="2296"/>
      <c r="AY681" s="2289"/>
      <c r="AZ681" s="2289"/>
      <c r="BA681" s="2289"/>
      <c r="BB681" s="2289"/>
      <c r="BC681" s="2289"/>
      <c r="BD681" s="2289"/>
      <c r="BE681" s="2289"/>
      <c r="BF681" s="2289"/>
      <c r="BG681" s="2289"/>
      <c r="BH681" s="2289"/>
      <c r="BI681" s="2289"/>
      <c r="BJ681" s="2289"/>
      <c r="BK681" s="2289"/>
      <c r="BL681" s="2289"/>
      <c r="BM681" s="2289"/>
      <c r="BN681" s="2289"/>
      <c r="BO681" s="2289"/>
      <c r="BP681" s="2289"/>
      <c r="BQ681" s="2289"/>
      <c r="BR681" s="2289"/>
    </row>
    <row r="682" spans="1:70" ht="15.75" customHeight="1">
      <c r="A682" s="2289"/>
      <c r="B682" s="2289"/>
      <c r="C682" s="2289"/>
      <c r="D682" s="2289"/>
      <c r="E682" s="2289"/>
      <c r="F682" s="2289"/>
      <c r="G682" s="2290"/>
      <c r="H682" s="2289"/>
      <c r="I682" s="2289"/>
      <c r="J682" s="2290"/>
      <c r="K682" s="2289"/>
      <c r="L682" s="2289"/>
      <c r="M682" s="2290"/>
      <c r="N682" s="2290"/>
      <c r="O682" s="2290"/>
      <c r="P682" s="2290"/>
      <c r="Q682" s="2289"/>
      <c r="R682" s="2289"/>
      <c r="S682" s="2289"/>
      <c r="T682" s="2291"/>
      <c r="U682" s="2289"/>
      <c r="V682" s="2289"/>
      <c r="W682" s="2289"/>
      <c r="X682" s="2292"/>
      <c r="Y682" s="2292"/>
      <c r="Z682" s="2289"/>
      <c r="AA682" s="2289"/>
      <c r="AB682" s="2289"/>
      <c r="AC682" s="2289"/>
      <c r="AD682" s="2293"/>
      <c r="AE682" s="2293"/>
      <c r="AF682" s="2293"/>
      <c r="AG682" s="2293"/>
      <c r="AH682" s="2289"/>
      <c r="AI682" s="2289"/>
      <c r="AJ682" s="2294"/>
      <c r="AK682" s="2294"/>
      <c r="AL682" s="2289"/>
      <c r="AM682" s="2289"/>
      <c r="AN682" s="2289"/>
      <c r="AO682" s="2289"/>
      <c r="AP682" s="2289"/>
      <c r="AQ682" s="2289"/>
      <c r="AR682" s="2294"/>
      <c r="AS682" s="2294"/>
      <c r="AT682" s="2295"/>
      <c r="AU682" s="2295"/>
      <c r="AV682" s="2295"/>
      <c r="AW682" s="2295"/>
      <c r="AX682" s="2296"/>
      <c r="AY682" s="2289"/>
      <c r="AZ682" s="2289"/>
      <c r="BA682" s="2289"/>
      <c r="BB682" s="2289"/>
      <c r="BC682" s="2289"/>
      <c r="BD682" s="2289"/>
      <c r="BE682" s="2289"/>
      <c r="BF682" s="2289"/>
      <c r="BG682" s="2289"/>
      <c r="BH682" s="2289"/>
      <c r="BI682" s="2289"/>
      <c r="BJ682" s="2289"/>
      <c r="BK682" s="2289"/>
      <c r="BL682" s="2289"/>
      <c r="BM682" s="2289"/>
      <c r="BN682" s="2289"/>
      <c r="BO682" s="2289"/>
      <c r="BP682" s="2289"/>
      <c r="BQ682" s="2289"/>
      <c r="BR682" s="2289"/>
    </row>
    <row r="683" spans="1:70" ht="15.75" customHeight="1">
      <c r="A683" s="2289"/>
      <c r="B683" s="2289"/>
      <c r="C683" s="2289"/>
      <c r="D683" s="2289"/>
      <c r="E683" s="2289"/>
      <c r="F683" s="2289"/>
      <c r="G683" s="2290"/>
      <c r="H683" s="2289"/>
      <c r="I683" s="2289"/>
      <c r="J683" s="2290"/>
      <c r="K683" s="2289"/>
      <c r="L683" s="2289"/>
      <c r="M683" s="2290"/>
      <c r="N683" s="2290"/>
      <c r="O683" s="2290"/>
      <c r="P683" s="2290"/>
      <c r="Q683" s="2289"/>
      <c r="R683" s="2289"/>
      <c r="S683" s="2289"/>
      <c r="T683" s="2291"/>
      <c r="U683" s="2289"/>
      <c r="V683" s="2289"/>
      <c r="W683" s="2289"/>
      <c r="X683" s="2292"/>
      <c r="Y683" s="2292"/>
      <c r="Z683" s="2289"/>
      <c r="AA683" s="2289"/>
      <c r="AB683" s="2289"/>
      <c r="AC683" s="2289"/>
      <c r="AD683" s="2293"/>
      <c r="AE683" s="2293"/>
      <c r="AF683" s="2293"/>
      <c r="AG683" s="2293"/>
      <c r="AH683" s="2289"/>
      <c r="AI683" s="2289"/>
      <c r="AJ683" s="2294"/>
      <c r="AK683" s="2294"/>
      <c r="AL683" s="2289"/>
      <c r="AM683" s="2289"/>
      <c r="AN683" s="2289"/>
      <c r="AO683" s="2289"/>
      <c r="AP683" s="2289"/>
      <c r="AQ683" s="2289"/>
      <c r="AR683" s="2294"/>
      <c r="AS683" s="2294"/>
      <c r="AT683" s="2295"/>
      <c r="AU683" s="2295"/>
      <c r="AV683" s="2295"/>
      <c r="AW683" s="2295"/>
      <c r="AX683" s="2296"/>
      <c r="AY683" s="2289"/>
      <c r="AZ683" s="2289"/>
      <c r="BA683" s="2289"/>
      <c r="BB683" s="2289"/>
      <c r="BC683" s="2289"/>
      <c r="BD683" s="2289"/>
      <c r="BE683" s="2289"/>
      <c r="BF683" s="2289"/>
      <c r="BG683" s="2289"/>
      <c r="BH683" s="2289"/>
      <c r="BI683" s="2289"/>
      <c r="BJ683" s="2289"/>
      <c r="BK683" s="2289"/>
      <c r="BL683" s="2289"/>
      <c r="BM683" s="2289"/>
      <c r="BN683" s="2289"/>
      <c r="BO683" s="2289"/>
      <c r="BP683" s="2289"/>
      <c r="BQ683" s="2289"/>
      <c r="BR683" s="2289"/>
    </row>
    <row r="684" spans="1:70" ht="15.75" customHeight="1">
      <c r="A684" s="2289"/>
      <c r="B684" s="2289"/>
      <c r="C684" s="2289"/>
      <c r="D684" s="2289"/>
      <c r="E684" s="2289"/>
      <c r="F684" s="2289"/>
      <c r="G684" s="2290"/>
      <c r="H684" s="2289"/>
      <c r="I684" s="2289"/>
      <c r="J684" s="2290"/>
      <c r="K684" s="2289"/>
      <c r="L684" s="2289"/>
      <c r="M684" s="2290"/>
      <c r="N684" s="2290"/>
      <c r="O684" s="2290"/>
      <c r="P684" s="2290"/>
      <c r="Q684" s="2289"/>
      <c r="R684" s="2289"/>
      <c r="S684" s="2289"/>
      <c r="T684" s="2291"/>
      <c r="U684" s="2289"/>
      <c r="V684" s="2289"/>
      <c r="W684" s="2289"/>
      <c r="X684" s="2292"/>
      <c r="Y684" s="2292"/>
      <c r="Z684" s="2289"/>
      <c r="AA684" s="2289"/>
      <c r="AB684" s="2289"/>
      <c r="AC684" s="2289"/>
      <c r="AD684" s="2293"/>
      <c r="AE684" s="2293"/>
      <c r="AF684" s="2293"/>
      <c r="AG684" s="2293"/>
      <c r="AH684" s="2289"/>
      <c r="AI684" s="2289"/>
      <c r="AJ684" s="2294"/>
      <c r="AK684" s="2294"/>
      <c r="AL684" s="2289"/>
      <c r="AM684" s="2289"/>
      <c r="AN684" s="2289"/>
      <c r="AO684" s="2289"/>
      <c r="AP684" s="2289"/>
      <c r="AQ684" s="2289"/>
      <c r="AR684" s="2294"/>
      <c r="AS684" s="2294"/>
      <c r="AT684" s="2295"/>
      <c r="AU684" s="2295"/>
      <c r="AV684" s="2295"/>
      <c r="AW684" s="2295"/>
      <c r="AX684" s="2296"/>
      <c r="AY684" s="2289"/>
      <c r="AZ684" s="2289"/>
      <c r="BA684" s="2289"/>
      <c r="BB684" s="2289"/>
      <c r="BC684" s="2289"/>
      <c r="BD684" s="2289"/>
      <c r="BE684" s="2289"/>
      <c r="BF684" s="2289"/>
      <c r="BG684" s="2289"/>
      <c r="BH684" s="2289"/>
      <c r="BI684" s="2289"/>
      <c r="BJ684" s="2289"/>
      <c r="BK684" s="2289"/>
      <c r="BL684" s="2289"/>
      <c r="BM684" s="2289"/>
      <c r="BN684" s="2289"/>
      <c r="BO684" s="2289"/>
      <c r="BP684" s="2289"/>
      <c r="BQ684" s="2289"/>
      <c r="BR684" s="2289"/>
    </row>
    <row r="685" spans="1:70" ht="15.75" customHeight="1">
      <c r="A685" s="2289"/>
      <c r="B685" s="2289"/>
      <c r="C685" s="2289"/>
      <c r="D685" s="2289"/>
      <c r="E685" s="2289"/>
      <c r="F685" s="2289"/>
      <c r="G685" s="2290"/>
      <c r="H685" s="2289"/>
      <c r="I685" s="2289"/>
      <c r="J685" s="2290"/>
      <c r="K685" s="2289"/>
      <c r="L685" s="2289"/>
      <c r="M685" s="2290"/>
      <c r="N685" s="2290"/>
      <c r="O685" s="2290"/>
      <c r="P685" s="2290"/>
      <c r="Q685" s="2289"/>
      <c r="R685" s="2289"/>
      <c r="S685" s="2289"/>
      <c r="T685" s="2291"/>
      <c r="U685" s="2289"/>
      <c r="V685" s="2289"/>
      <c r="W685" s="2289"/>
      <c r="X685" s="2292"/>
      <c r="Y685" s="2292"/>
      <c r="Z685" s="2289"/>
      <c r="AA685" s="2289"/>
      <c r="AB685" s="2289"/>
      <c r="AC685" s="2289"/>
      <c r="AD685" s="2293"/>
      <c r="AE685" s="2293"/>
      <c r="AF685" s="2293"/>
      <c r="AG685" s="2293"/>
      <c r="AH685" s="2289"/>
      <c r="AI685" s="2289"/>
      <c r="AJ685" s="2294"/>
      <c r="AK685" s="2294"/>
      <c r="AL685" s="2289"/>
      <c r="AM685" s="2289"/>
      <c r="AN685" s="2289"/>
      <c r="AO685" s="2289"/>
      <c r="AP685" s="2289"/>
      <c r="AQ685" s="2289"/>
      <c r="AR685" s="2294"/>
      <c r="AS685" s="2294"/>
      <c r="AT685" s="2295"/>
      <c r="AU685" s="2295"/>
      <c r="AV685" s="2295"/>
      <c r="AW685" s="2295"/>
      <c r="AX685" s="2296"/>
      <c r="AY685" s="2289"/>
      <c r="AZ685" s="2289"/>
      <c r="BA685" s="2289"/>
      <c r="BB685" s="2289"/>
      <c r="BC685" s="2289"/>
      <c r="BD685" s="2289"/>
      <c r="BE685" s="2289"/>
      <c r="BF685" s="2289"/>
      <c r="BG685" s="2289"/>
      <c r="BH685" s="2289"/>
      <c r="BI685" s="2289"/>
      <c r="BJ685" s="2289"/>
      <c r="BK685" s="2289"/>
      <c r="BL685" s="2289"/>
      <c r="BM685" s="2289"/>
      <c r="BN685" s="2289"/>
      <c r="BO685" s="2289"/>
      <c r="BP685" s="2289"/>
      <c r="BQ685" s="2289"/>
      <c r="BR685" s="2289"/>
    </row>
    <row r="686" spans="1:70" ht="15.75" customHeight="1">
      <c r="A686" s="2289"/>
      <c r="B686" s="2289"/>
      <c r="C686" s="2289"/>
      <c r="D686" s="2289"/>
      <c r="E686" s="2289"/>
      <c r="F686" s="2289"/>
      <c r="G686" s="2290"/>
      <c r="H686" s="2289"/>
      <c r="I686" s="2289"/>
      <c r="J686" s="2290"/>
      <c r="K686" s="2289"/>
      <c r="L686" s="2289"/>
      <c r="M686" s="2290"/>
      <c r="N686" s="2290"/>
      <c r="O686" s="2290"/>
      <c r="P686" s="2290"/>
      <c r="Q686" s="2289"/>
      <c r="R686" s="2289"/>
      <c r="S686" s="2289"/>
      <c r="T686" s="2291"/>
      <c r="U686" s="2289"/>
      <c r="V686" s="2289"/>
      <c r="W686" s="2289"/>
      <c r="X686" s="2292"/>
      <c r="Y686" s="2292"/>
      <c r="Z686" s="2289"/>
      <c r="AA686" s="2289"/>
      <c r="AB686" s="2289"/>
      <c r="AC686" s="2289"/>
      <c r="AD686" s="2293"/>
      <c r="AE686" s="2293"/>
      <c r="AF686" s="2293"/>
      <c r="AG686" s="2293"/>
      <c r="AH686" s="2289"/>
      <c r="AI686" s="2289"/>
      <c r="AJ686" s="2294"/>
      <c r="AK686" s="2294"/>
      <c r="AL686" s="2289"/>
      <c r="AM686" s="2289"/>
      <c r="AN686" s="2289"/>
      <c r="AO686" s="2289"/>
      <c r="AP686" s="2289"/>
      <c r="AQ686" s="2289"/>
      <c r="AR686" s="2294"/>
      <c r="AS686" s="2294"/>
      <c r="AT686" s="2295"/>
      <c r="AU686" s="2295"/>
      <c r="AV686" s="2295"/>
      <c r="AW686" s="2295"/>
      <c r="AX686" s="2296"/>
      <c r="AY686" s="2289"/>
      <c r="AZ686" s="2289"/>
      <c r="BA686" s="2289"/>
      <c r="BB686" s="2289"/>
      <c r="BC686" s="2289"/>
      <c r="BD686" s="2289"/>
      <c r="BE686" s="2289"/>
      <c r="BF686" s="2289"/>
      <c r="BG686" s="2289"/>
      <c r="BH686" s="2289"/>
      <c r="BI686" s="2289"/>
      <c r="BJ686" s="2289"/>
      <c r="BK686" s="2289"/>
      <c r="BL686" s="2289"/>
      <c r="BM686" s="2289"/>
      <c r="BN686" s="2289"/>
      <c r="BO686" s="2289"/>
      <c r="BP686" s="2289"/>
      <c r="BQ686" s="2289"/>
      <c r="BR686" s="2289"/>
    </row>
    <row r="687" spans="1:70" ht="15.75" customHeight="1">
      <c r="A687" s="2289"/>
      <c r="B687" s="2289"/>
      <c r="C687" s="2289"/>
      <c r="D687" s="2289"/>
      <c r="E687" s="2289"/>
      <c r="F687" s="2289"/>
      <c r="G687" s="2290"/>
      <c r="H687" s="2289"/>
      <c r="I687" s="2289"/>
      <c r="J687" s="2290"/>
      <c r="K687" s="2289"/>
      <c r="L687" s="2289"/>
      <c r="M687" s="2290"/>
      <c r="N687" s="2290"/>
      <c r="O687" s="2290"/>
      <c r="P687" s="2290"/>
      <c r="Q687" s="2289"/>
      <c r="R687" s="2289"/>
      <c r="S687" s="2289"/>
      <c r="T687" s="2291"/>
      <c r="U687" s="2289"/>
      <c r="V687" s="2289"/>
      <c r="W687" s="2289"/>
      <c r="X687" s="2292"/>
      <c r="Y687" s="2292"/>
      <c r="Z687" s="2289"/>
      <c r="AA687" s="2289"/>
      <c r="AB687" s="2289"/>
      <c r="AC687" s="2289"/>
      <c r="AD687" s="2293"/>
      <c r="AE687" s="2293"/>
      <c r="AF687" s="2293"/>
      <c r="AG687" s="2293"/>
      <c r="AH687" s="2289"/>
      <c r="AI687" s="2289"/>
      <c r="AJ687" s="2294"/>
      <c r="AK687" s="2294"/>
      <c r="AL687" s="2289"/>
      <c r="AM687" s="2289"/>
      <c r="AN687" s="2289"/>
      <c r="AO687" s="2289"/>
      <c r="AP687" s="2289"/>
      <c r="AQ687" s="2289"/>
      <c r="AR687" s="2294"/>
      <c r="AS687" s="2294"/>
      <c r="AT687" s="2295"/>
      <c r="AU687" s="2295"/>
      <c r="AV687" s="2295"/>
      <c r="AW687" s="2295"/>
      <c r="AX687" s="2296"/>
      <c r="AY687" s="2289"/>
      <c r="AZ687" s="2289"/>
      <c r="BA687" s="2289"/>
      <c r="BB687" s="2289"/>
      <c r="BC687" s="2289"/>
      <c r="BD687" s="2289"/>
      <c r="BE687" s="2289"/>
      <c r="BF687" s="2289"/>
      <c r="BG687" s="2289"/>
      <c r="BH687" s="2289"/>
      <c r="BI687" s="2289"/>
      <c r="BJ687" s="2289"/>
      <c r="BK687" s="2289"/>
      <c r="BL687" s="2289"/>
      <c r="BM687" s="2289"/>
      <c r="BN687" s="2289"/>
      <c r="BO687" s="2289"/>
      <c r="BP687" s="2289"/>
      <c r="BQ687" s="2289"/>
      <c r="BR687" s="2289"/>
    </row>
    <row r="688" spans="1:70" ht="15.75" customHeight="1">
      <c r="A688" s="2289"/>
      <c r="B688" s="2289"/>
      <c r="C688" s="2289"/>
      <c r="D688" s="2289"/>
      <c r="E688" s="2289"/>
      <c r="F688" s="2289"/>
      <c r="G688" s="2290"/>
      <c r="H688" s="2289"/>
      <c r="I688" s="2289"/>
      <c r="J688" s="2290"/>
      <c r="K688" s="2289"/>
      <c r="L688" s="2289"/>
      <c r="M688" s="2290"/>
      <c r="N688" s="2290"/>
      <c r="O688" s="2290"/>
      <c r="P688" s="2290"/>
      <c r="Q688" s="2289"/>
      <c r="R688" s="2289"/>
      <c r="S688" s="2289"/>
      <c r="T688" s="2291"/>
      <c r="U688" s="2289"/>
      <c r="V688" s="2289"/>
      <c r="W688" s="2289"/>
      <c r="X688" s="2292"/>
      <c r="Y688" s="2292"/>
      <c r="Z688" s="2289"/>
      <c r="AA688" s="2289"/>
      <c r="AB688" s="2289"/>
      <c r="AC688" s="2289"/>
      <c r="AD688" s="2293"/>
      <c r="AE688" s="2293"/>
      <c r="AF688" s="2293"/>
      <c r="AG688" s="2293"/>
      <c r="AH688" s="2289"/>
      <c r="AI688" s="2289"/>
      <c r="AJ688" s="2294"/>
      <c r="AK688" s="2294"/>
      <c r="AL688" s="2289"/>
      <c r="AM688" s="2289"/>
      <c r="AN688" s="2289"/>
      <c r="AO688" s="2289"/>
      <c r="AP688" s="2289"/>
      <c r="AQ688" s="2289"/>
      <c r="AR688" s="2294"/>
      <c r="AS688" s="2294"/>
      <c r="AT688" s="2295"/>
      <c r="AU688" s="2295"/>
      <c r="AV688" s="2295"/>
      <c r="AW688" s="2295"/>
      <c r="AX688" s="2296"/>
      <c r="AY688" s="2289"/>
      <c r="AZ688" s="2289"/>
      <c r="BA688" s="2289"/>
      <c r="BB688" s="2289"/>
      <c r="BC688" s="2289"/>
      <c r="BD688" s="2289"/>
      <c r="BE688" s="2289"/>
      <c r="BF688" s="2289"/>
      <c r="BG688" s="2289"/>
      <c r="BH688" s="2289"/>
      <c r="BI688" s="2289"/>
      <c r="BJ688" s="2289"/>
      <c r="BK688" s="2289"/>
      <c r="BL688" s="2289"/>
      <c r="BM688" s="2289"/>
      <c r="BN688" s="2289"/>
      <c r="BO688" s="2289"/>
      <c r="BP688" s="2289"/>
      <c r="BQ688" s="2289"/>
      <c r="BR688" s="2289"/>
    </row>
    <row r="689" spans="1:70" ht="15.75" customHeight="1">
      <c r="A689" s="2289"/>
      <c r="B689" s="2289"/>
      <c r="C689" s="2289"/>
      <c r="D689" s="2289"/>
      <c r="E689" s="2289"/>
      <c r="F689" s="2289"/>
      <c r="G689" s="2290"/>
      <c r="H689" s="2289"/>
      <c r="I689" s="2289"/>
      <c r="J689" s="2290"/>
      <c r="K689" s="2289"/>
      <c r="L689" s="2289"/>
      <c r="M689" s="2290"/>
      <c r="N689" s="2290"/>
      <c r="O689" s="2290"/>
      <c r="P689" s="2290"/>
      <c r="Q689" s="2289"/>
      <c r="R689" s="2289"/>
      <c r="S689" s="2289"/>
      <c r="T689" s="2291"/>
      <c r="U689" s="2289"/>
      <c r="V689" s="2289"/>
      <c r="W689" s="2289"/>
      <c r="X689" s="2292"/>
      <c r="Y689" s="2292"/>
      <c r="Z689" s="2289"/>
      <c r="AA689" s="2289"/>
      <c r="AB689" s="2289"/>
      <c r="AC689" s="2289"/>
      <c r="AD689" s="2293"/>
      <c r="AE689" s="2293"/>
      <c r="AF689" s="2293"/>
      <c r="AG689" s="2293"/>
      <c r="AH689" s="2289"/>
      <c r="AI689" s="2289"/>
      <c r="AJ689" s="2294"/>
      <c r="AK689" s="2294"/>
      <c r="AL689" s="2289"/>
      <c r="AM689" s="2289"/>
      <c r="AN689" s="2289"/>
      <c r="AO689" s="2289"/>
      <c r="AP689" s="2289"/>
      <c r="AQ689" s="2289"/>
      <c r="AR689" s="2294"/>
      <c r="AS689" s="2294"/>
      <c r="AT689" s="2295"/>
      <c r="AU689" s="2295"/>
      <c r="AV689" s="2295"/>
      <c r="AW689" s="2295"/>
      <c r="AX689" s="2296"/>
      <c r="AY689" s="2289"/>
      <c r="AZ689" s="2289"/>
      <c r="BA689" s="2289"/>
      <c r="BB689" s="2289"/>
      <c r="BC689" s="2289"/>
      <c r="BD689" s="2289"/>
      <c r="BE689" s="2289"/>
      <c r="BF689" s="2289"/>
      <c r="BG689" s="2289"/>
      <c r="BH689" s="2289"/>
      <c r="BI689" s="2289"/>
      <c r="BJ689" s="2289"/>
      <c r="BK689" s="2289"/>
      <c r="BL689" s="2289"/>
      <c r="BM689" s="2289"/>
      <c r="BN689" s="2289"/>
      <c r="BO689" s="2289"/>
      <c r="BP689" s="2289"/>
      <c r="BQ689" s="2289"/>
      <c r="BR689" s="2289"/>
    </row>
    <row r="690" spans="1:70" ht="15.75" customHeight="1">
      <c r="A690" s="2289"/>
      <c r="B690" s="2289"/>
      <c r="C690" s="2289"/>
      <c r="D690" s="2289"/>
      <c r="E690" s="2289"/>
      <c r="F690" s="2289"/>
      <c r="G690" s="2290"/>
      <c r="H690" s="2289"/>
      <c r="I690" s="2289"/>
      <c r="J690" s="2290"/>
      <c r="K690" s="2289"/>
      <c r="L690" s="2289"/>
      <c r="M690" s="2290"/>
      <c r="N690" s="2290"/>
      <c r="O690" s="2290"/>
      <c r="P690" s="2290"/>
      <c r="Q690" s="2289"/>
      <c r="R690" s="2289"/>
      <c r="S690" s="2289"/>
      <c r="T690" s="2291"/>
      <c r="U690" s="2289"/>
      <c r="V690" s="2289"/>
      <c r="W690" s="2289"/>
      <c r="X690" s="2292"/>
      <c r="Y690" s="2292"/>
      <c r="Z690" s="2289"/>
      <c r="AA690" s="2289"/>
      <c r="AB690" s="2289"/>
      <c r="AC690" s="2289"/>
      <c r="AD690" s="2293"/>
      <c r="AE690" s="2293"/>
      <c r="AF690" s="2293"/>
      <c r="AG690" s="2293"/>
      <c r="AH690" s="2289"/>
      <c r="AI690" s="2289"/>
      <c r="AJ690" s="2294"/>
      <c r="AK690" s="2294"/>
      <c r="AL690" s="2289"/>
      <c r="AM690" s="2289"/>
      <c r="AN690" s="2289"/>
      <c r="AO690" s="2289"/>
      <c r="AP690" s="2289"/>
      <c r="AQ690" s="2289"/>
      <c r="AR690" s="2294"/>
      <c r="AS690" s="2294"/>
      <c r="AT690" s="2295"/>
      <c r="AU690" s="2295"/>
      <c r="AV690" s="2295"/>
      <c r="AW690" s="2295"/>
      <c r="AX690" s="2296"/>
      <c r="AY690" s="2289"/>
      <c r="AZ690" s="2289"/>
      <c r="BA690" s="2289"/>
      <c r="BB690" s="2289"/>
      <c r="BC690" s="2289"/>
      <c r="BD690" s="2289"/>
      <c r="BE690" s="2289"/>
      <c r="BF690" s="2289"/>
      <c r="BG690" s="2289"/>
      <c r="BH690" s="2289"/>
      <c r="BI690" s="2289"/>
      <c r="BJ690" s="2289"/>
      <c r="BK690" s="2289"/>
      <c r="BL690" s="2289"/>
      <c r="BM690" s="2289"/>
      <c r="BN690" s="2289"/>
      <c r="BO690" s="2289"/>
      <c r="BP690" s="2289"/>
      <c r="BQ690" s="2289"/>
      <c r="BR690" s="2289"/>
    </row>
    <row r="691" spans="1:70" ht="15.75" customHeight="1">
      <c r="A691" s="2289"/>
      <c r="B691" s="2289"/>
      <c r="C691" s="2289"/>
      <c r="D691" s="2289"/>
      <c r="E691" s="2289"/>
      <c r="F691" s="2289"/>
      <c r="G691" s="2290"/>
      <c r="H691" s="2289"/>
      <c r="I691" s="2289"/>
      <c r="J691" s="2290"/>
      <c r="K691" s="2289"/>
      <c r="L691" s="2289"/>
      <c r="M691" s="2290"/>
      <c r="N691" s="2290"/>
      <c r="O691" s="2290"/>
      <c r="P691" s="2290"/>
      <c r="Q691" s="2289"/>
      <c r="R691" s="2289"/>
      <c r="S691" s="2289"/>
      <c r="T691" s="2291"/>
      <c r="U691" s="2289"/>
      <c r="V691" s="2289"/>
      <c r="W691" s="2289"/>
      <c r="X691" s="2292"/>
      <c r="Y691" s="2292"/>
      <c r="Z691" s="2289"/>
      <c r="AA691" s="2289"/>
      <c r="AB691" s="2289"/>
      <c r="AC691" s="2289"/>
      <c r="AD691" s="2293"/>
      <c r="AE691" s="2293"/>
      <c r="AF691" s="2293"/>
      <c r="AG691" s="2293"/>
      <c r="AH691" s="2289"/>
      <c r="AI691" s="2289"/>
      <c r="AJ691" s="2294"/>
      <c r="AK691" s="2294"/>
      <c r="AL691" s="2289"/>
      <c r="AM691" s="2289"/>
      <c r="AN691" s="2289"/>
      <c r="AO691" s="2289"/>
      <c r="AP691" s="2289"/>
      <c r="AQ691" s="2289"/>
      <c r="AR691" s="2294"/>
      <c r="AS691" s="2294"/>
      <c r="AT691" s="2295"/>
      <c r="AU691" s="2295"/>
      <c r="AV691" s="2295"/>
      <c r="AW691" s="2295"/>
      <c r="AX691" s="2296"/>
      <c r="AY691" s="2289"/>
      <c r="AZ691" s="2289"/>
      <c r="BA691" s="2289"/>
      <c r="BB691" s="2289"/>
      <c r="BC691" s="2289"/>
      <c r="BD691" s="2289"/>
      <c r="BE691" s="2289"/>
      <c r="BF691" s="2289"/>
      <c r="BG691" s="2289"/>
      <c r="BH691" s="2289"/>
      <c r="BI691" s="2289"/>
      <c r="BJ691" s="2289"/>
      <c r="BK691" s="2289"/>
      <c r="BL691" s="2289"/>
      <c r="BM691" s="2289"/>
      <c r="BN691" s="2289"/>
      <c r="BO691" s="2289"/>
      <c r="BP691" s="2289"/>
      <c r="BQ691" s="2289"/>
      <c r="BR691" s="2289"/>
    </row>
    <row r="692" spans="1:70" ht="15.75" customHeight="1">
      <c r="A692" s="2289"/>
      <c r="B692" s="2289"/>
      <c r="C692" s="2289"/>
      <c r="D692" s="2289"/>
      <c r="E692" s="2289"/>
      <c r="F692" s="2289"/>
      <c r="G692" s="2290"/>
      <c r="H692" s="2289"/>
      <c r="I692" s="2289"/>
      <c r="J692" s="2290"/>
      <c r="K692" s="2289"/>
      <c r="L692" s="2289"/>
      <c r="M692" s="2290"/>
      <c r="N692" s="2290"/>
      <c r="O692" s="2290"/>
      <c r="P692" s="2290"/>
      <c r="Q692" s="2289"/>
      <c r="R692" s="2289"/>
      <c r="S692" s="2289"/>
      <c r="T692" s="2291"/>
      <c r="U692" s="2289"/>
      <c r="V692" s="2289"/>
      <c r="W692" s="2289"/>
      <c r="X692" s="2292"/>
      <c r="Y692" s="2292"/>
      <c r="Z692" s="2289"/>
      <c r="AA692" s="2289"/>
      <c r="AB692" s="2289"/>
      <c r="AC692" s="2289"/>
      <c r="AD692" s="2293"/>
      <c r="AE692" s="2293"/>
      <c r="AF692" s="2293"/>
      <c r="AG692" s="2293"/>
      <c r="AH692" s="2289"/>
      <c r="AI692" s="2289"/>
      <c r="AJ692" s="2294"/>
      <c r="AK692" s="2294"/>
      <c r="AL692" s="2289"/>
      <c r="AM692" s="2289"/>
      <c r="AN692" s="2289"/>
      <c r="AO692" s="2289"/>
      <c r="AP692" s="2289"/>
      <c r="AQ692" s="2289"/>
      <c r="AR692" s="2294"/>
      <c r="AS692" s="2294"/>
      <c r="AT692" s="2295"/>
      <c r="AU692" s="2295"/>
      <c r="AV692" s="2295"/>
      <c r="AW692" s="2295"/>
      <c r="AX692" s="2296"/>
      <c r="AY692" s="2289"/>
      <c r="AZ692" s="2289"/>
      <c r="BA692" s="2289"/>
      <c r="BB692" s="2289"/>
      <c r="BC692" s="2289"/>
      <c r="BD692" s="2289"/>
      <c r="BE692" s="2289"/>
      <c r="BF692" s="2289"/>
      <c r="BG692" s="2289"/>
      <c r="BH692" s="2289"/>
      <c r="BI692" s="2289"/>
      <c r="BJ692" s="2289"/>
      <c r="BK692" s="2289"/>
      <c r="BL692" s="2289"/>
      <c r="BM692" s="2289"/>
      <c r="BN692" s="2289"/>
      <c r="BO692" s="2289"/>
      <c r="BP692" s="2289"/>
      <c r="BQ692" s="2289"/>
      <c r="BR692" s="2289"/>
    </row>
    <row r="693" spans="1:70" ht="15.75" customHeight="1">
      <c r="A693" s="2289"/>
      <c r="B693" s="2289"/>
      <c r="C693" s="2289"/>
      <c r="D693" s="2289"/>
      <c r="E693" s="2289"/>
      <c r="F693" s="2289"/>
      <c r="G693" s="2290"/>
      <c r="H693" s="2289"/>
      <c r="I693" s="2289"/>
      <c r="J693" s="2290"/>
      <c r="K693" s="2289"/>
      <c r="L693" s="2289"/>
      <c r="M693" s="2290"/>
      <c r="N693" s="2290"/>
      <c r="O693" s="2290"/>
      <c r="P693" s="2290"/>
      <c r="Q693" s="2289"/>
      <c r="R693" s="2289"/>
      <c r="S693" s="2289"/>
      <c r="T693" s="2291"/>
      <c r="U693" s="2289"/>
      <c r="V693" s="2289"/>
      <c r="W693" s="2289"/>
      <c r="X693" s="2292"/>
      <c r="Y693" s="2292"/>
      <c r="Z693" s="2289"/>
      <c r="AA693" s="2289"/>
      <c r="AB693" s="2289"/>
      <c r="AC693" s="2289"/>
      <c r="AD693" s="2293"/>
      <c r="AE693" s="2293"/>
      <c r="AF693" s="2293"/>
      <c r="AG693" s="2293"/>
      <c r="AH693" s="2289"/>
      <c r="AI693" s="2289"/>
      <c r="AJ693" s="2294"/>
      <c r="AK693" s="2294"/>
      <c r="AL693" s="2289"/>
      <c r="AM693" s="2289"/>
      <c r="AN693" s="2289"/>
      <c r="AO693" s="2289"/>
      <c r="AP693" s="2289"/>
      <c r="AQ693" s="2289"/>
      <c r="AR693" s="2294"/>
      <c r="AS693" s="2294"/>
      <c r="AT693" s="2295"/>
      <c r="AU693" s="2295"/>
      <c r="AV693" s="2295"/>
      <c r="AW693" s="2295"/>
      <c r="AX693" s="2296"/>
      <c r="AY693" s="2289"/>
      <c r="AZ693" s="2289"/>
      <c r="BA693" s="2289"/>
      <c r="BB693" s="2289"/>
      <c r="BC693" s="2289"/>
      <c r="BD693" s="2289"/>
      <c r="BE693" s="2289"/>
      <c r="BF693" s="2289"/>
      <c r="BG693" s="2289"/>
      <c r="BH693" s="2289"/>
      <c r="BI693" s="2289"/>
      <c r="BJ693" s="2289"/>
      <c r="BK693" s="2289"/>
      <c r="BL693" s="2289"/>
      <c r="BM693" s="2289"/>
      <c r="BN693" s="2289"/>
      <c r="BO693" s="2289"/>
      <c r="BP693" s="2289"/>
      <c r="BQ693" s="2289"/>
      <c r="BR693" s="2289"/>
    </row>
    <row r="694" spans="1:70" ht="15.75" customHeight="1">
      <c r="A694" s="2289"/>
      <c r="B694" s="2289"/>
      <c r="C694" s="2289"/>
      <c r="D694" s="2289"/>
      <c r="E694" s="2289"/>
      <c r="F694" s="2289"/>
      <c r="G694" s="2290"/>
      <c r="H694" s="2289"/>
      <c r="I694" s="2289"/>
      <c r="J694" s="2290"/>
      <c r="K694" s="2289"/>
      <c r="L694" s="2289"/>
      <c r="M694" s="2290"/>
      <c r="N694" s="2290"/>
      <c r="O694" s="2290"/>
      <c r="P694" s="2290"/>
      <c r="Q694" s="2289"/>
      <c r="R694" s="2289"/>
      <c r="S694" s="2289"/>
      <c r="T694" s="2291"/>
      <c r="U694" s="2289"/>
      <c r="V694" s="2289"/>
      <c r="W694" s="2289"/>
      <c r="X694" s="2292"/>
      <c r="Y694" s="2292"/>
      <c r="Z694" s="2289"/>
      <c r="AA694" s="2289"/>
      <c r="AB694" s="2289"/>
      <c r="AC694" s="2289"/>
      <c r="AD694" s="2293"/>
      <c r="AE694" s="2293"/>
      <c r="AF694" s="2293"/>
      <c r="AG694" s="2293"/>
      <c r="AH694" s="2289"/>
      <c r="AI694" s="2289"/>
      <c r="AJ694" s="2294"/>
      <c r="AK694" s="2294"/>
      <c r="AL694" s="2289"/>
      <c r="AM694" s="2289"/>
      <c r="AN694" s="2289"/>
      <c r="AO694" s="2289"/>
      <c r="AP694" s="2289"/>
      <c r="AQ694" s="2289"/>
      <c r="AR694" s="2294"/>
      <c r="AS694" s="2294"/>
      <c r="AT694" s="2295"/>
      <c r="AU694" s="2295"/>
      <c r="AV694" s="2295"/>
      <c r="AW694" s="2295"/>
      <c r="AX694" s="2296"/>
      <c r="AY694" s="2289"/>
      <c r="AZ694" s="2289"/>
      <c r="BA694" s="2289"/>
      <c r="BB694" s="2289"/>
      <c r="BC694" s="2289"/>
      <c r="BD694" s="2289"/>
      <c r="BE694" s="2289"/>
      <c r="BF694" s="2289"/>
      <c r="BG694" s="2289"/>
      <c r="BH694" s="2289"/>
      <c r="BI694" s="2289"/>
      <c r="BJ694" s="2289"/>
      <c r="BK694" s="2289"/>
      <c r="BL694" s="2289"/>
      <c r="BM694" s="2289"/>
      <c r="BN694" s="2289"/>
      <c r="BO694" s="2289"/>
      <c r="BP694" s="2289"/>
      <c r="BQ694" s="2289"/>
      <c r="BR694" s="2289"/>
    </row>
    <row r="695" spans="1:70" ht="15.75" customHeight="1">
      <c r="A695" s="2289"/>
      <c r="B695" s="2289"/>
      <c r="C695" s="2289"/>
      <c r="D695" s="2289"/>
      <c r="E695" s="2289"/>
      <c r="F695" s="2289"/>
      <c r="G695" s="2290"/>
      <c r="H695" s="2289"/>
      <c r="I695" s="2289"/>
      <c r="J695" s="2290"/>
      <c r="K695" s="2289"/>
      <c r="L695" s="2289"/>
      <c r="M695" s="2290"/>
      <c r="N695" s="2290"/>
      <c r="O695" s="2290"/>
      <c r="P695" s="2290"/>
      <c r="Q695" s="2289"/>
      <c r="R695" s="2289"/>
      <c r="S695" s="2289"/>
      <c r="T695" s="2291"/>
      <c r="U695" s="2289"/>
      <c r="V695" s="2289"/>
      <c r="W695" s="2289"/>
      <c r="X695" s="2292"/>
      <c r="Y695" s="2292"/>
      <c r="Z695" s="2289"/>
      <c r="AA695" s="2289"/>
      <c r="AB695" s="2289"/>
      <c r="AC695" s="2289"/>
      <c r="AD695" s="2293"/>
      <c r="AE695" s="2293"/>
      <c r="AF695" s="2293"/>
      <c r="AG695" s="2293"/>
      <c r="AH695" s="2289"/>
      <c r="AI695" s="2289"/>
      <c r="AJ695" s="2294"/>
      <c r="AK695" s="2294"/>
      <c r="AL695" s="2289"/>
      <c r="AM695" s="2289"/>
      <c r="AN695" s="2289"/>
      <c r="AO695" s="2289"/>
      <c r="AP695" s="2289"/>
      <c r="AQ695" s="2289"/>
      <c r="AR695" s="2294"/>
      <c r="AS695" s="2294"/>
      <c r="AT695" s="2295"/>
      <c r="AU695" s="2295"/>
      <c r="AV695" s="2295"/>
      <c r="AW695" s="2295"/>
      <c r="AX695" s="2296"/>
      <c r="AY695" s="2289"/>
      <c r="AZ695" s="2289"/>
      <c r="BA695" s="2289"/>
      <c r="BB695" s="2289"/>
      <c r="BC695" s="2289"/>
      <c r="BD695" s="2289"/>
      <c r="BE695" s="2289"/>
      <c r="BF695" s="2289"/>
      <c r="BG695" s="2289"/>
      <c r="BH695" s="2289"/>
      <c r="BI695" s="2289"/>
      <c r="BJ695" s="2289"/>
      <c r="BK695" s="2289"/>
      <c r="BL695" s="2289"/>
      <c r="BM695" s="2289"/>
      <c r="BN695" s="2289"/>
      <c r="BO695" s="2289"/>
      <c r="BP695" s="2289"/>
      <c r="BQ695" s="2289"/>
      <c r="BR695" s="2289"/>
    </row>
    <row r="696" spans="1:70" ht="15.75" customHeight="1">
      <c r="A696" s="2289"/>
      <c r="B696" s="2289"/>
      <c r="C696" s="2289"/>
      <c r="D696" s="2289"/>
      <c r="E696" s="2289"/>
      <c r="F696" s="2289"/>
      <c r="G696" s="2290"/>
      <c r="H696" s="2289"/>
      <c r="I696" s="2289"/>
      <c r="J696" s="2290"/>
      <c r="K696" s="2289"/>
      <c r="L696" s="2289"/>
      <c r="M696" s="2290"/>
      <c r="N696" s="2290"/>
      <c r="O696" s="2290"/>
      <c r="P696" s="2290"/>
      <c r="Q696" s="2289"/>
      <c r="R696" s="2289"/>
      <c r="S696" s="2289"/>
      <c r="T696" s="2291"/>
      <c r="U696" s="2289"/>
      <c r="V696" s="2289"/>
      <c r="W696" s="2289"/>
      <c r="X696" s="2292"/>
      <c r="Y696" s="2292"/>
      <c r="Z696" s="2289"/>
      <c r="AA696" s="2289"/>
      <c r="AB696" s="2289"/>
      <c r="AC696" s="2289"/>
      <c r="AD696" s="2293"/>
      <c r="AE696" s="2293"/>
      <c r="AF696" s="2293"/>
      <c r="AG696" s="2293"/>
      <c r="AH696" s="2289"/>
      <c r="AI696" s="2289"/>
      <c r="AJ696" s="2294"/>
      <c r="AK696" s="2294"/>
      <c r="AL696" s="2289"/>
      <c r="AM696" s="2289"/>
      <c r="AN696" s="2289"/>
      <c r="AO696" s="2289"/>
      <c r="AP696" s="2289"/>
      <c r="AQ696" s="2289"/>
      <c r="AR696" s="2294"/>
      <c r="AS696" s="2294"/>
      <c r="AT696" s="2295"/>
      <c r="AU696" s="2295"/>
      <c r="AV696" s="2295"/>
      <c r="AW696" s="2295"/>
      <c r="AX696" s="2296"/>
      <c r="AY696" s="2289"/>
      <c r="AZ696" s="2289"/>
      <c r="BA696" s="2289"/>
      <c r="BB696" s="2289"/>
      <c r="BC696" s="2289"/>
      <c r="BD696" s="2289"/>
      <c r="BE696" s="2289"/>
      <c r="BF696" s="2289"/>
      <c r="BG696" s="2289"/>
      <c r="BH696" s="2289"/>
      <c r="BI696" s="2289"/>
      <c r="BJ696" s="2289"/>
      <c r="BK696" s="2289"/>
      <c r="BL696" s="2289"/>
      <c r="BM696" s="2289"/>
      <c r="BN696" s="2289"/>
      <c r="BO696" s="2289"/>
      <c r="BP696" s="2289"/>
      <c r="BQ696" s="2289"/>
      <c r="BR696" s="2289"/>
    </row>
    <row r="697" spans="1:70" ht="15.75" customHeight="1">
      <c r="A697" s="2289"/>
      <c r="B697" s="2289"/>
      <c r="C697" s="2289"/>
      <c r="D697" s="2289"/>
      <c r="E697" s="2289"/>
      <c r="F697" s="2289"/>
      <c r="G697" s="2290"/>
      <c r="H697" s="2289"/>
      <c r="I697" s="2289"/>
      <c r="J697" s="2290"/>
      <c r="K697" s="2289"/>
      <c r="L697" s="2289"/>
      <c r="M697" s="2290"/>
      <c r="N697" s="2290"/>
      <c r="O697" s="2290"/>
      <c r="P697" s="2290"/>
      <c r="Q697" s="2289"/>
      <c r="R697" s="2289"/>
      <c r="S697" s="2289"/>
      <c r="T697" s="2291"/>
      <c r="U697" s="2289"/>
      <c r="V697" s="2289"/>
      <c r="W697" s="2289"/>
      <c r="X697" s="2292"/>
      <c r="Y697" s="2292"/>
      <c r="Z697" s="2289"/>
      <c r="AA697" s="2289"/>
      <c r="AB697" s="2289"/>
      <c r="AC697" s="2289"/>
      <c r="AD697" s="2293"/>
      <c r="AE697" s="2293"/>
      <c r="AF697" s="2293"/>
      <c r="AG697" s="2293"/>
      <c r="AH697" s="2289"/>
      <c r="AI697" s="2289"/>
      <c r="AJ697" s="2294"/>
      <c r="AK697" s="2294"/>
      <c r="AL697" s="2289"/>
      <c r="AM697" s="2289"/>
      <c r="AN697" s="2289"/>
      <c r="AO697" s="2289"/>
      <c r="AP697" s="2289"/>
      <c r="AQ697" s="2289"/>
      <c r="AR697" s="2294"/>
      <c r="AS697" s="2294"/>
      <c r="AT697" s="2295"/>
      <c r="AU697" s="2295"/>
      <c r="AV697" s="2295"/>
      <c r="AW697" s="2295"/>
      <c r="AX697" s="2296"/>
      <c r="AY697" s="2289"/>
      <c r="AZ697" s="2289"/>
      <c r="BA697" s="2289"/>
      <c r="BB697" s="2289"/>
      <c r="BC697" s="2289"/>
      <c r="BD697" s="2289"/>
      <c r="BE697" s="2289"/>
      <c r="BF697" s="2289"/>
      <c r="BG697" s="2289"/>
      <c r="BH697" s="2289"/>
      <c r="BI697" s="2289"/>
      <c r="BJ697" s="2289"/>
      <c r="BK697" s="2289"/>
      <c r="BL697" s="2289"/>
      <c r="BM697" s="2289"/>
      <c r="BN697" s="2289"/>
      <c r="BO697" s="2289"/>
      <c r="BP697" s="2289"/>
      <c r="BQ697" s="2289"/>
      <c r="BR697" s="2289"/>
    </row>
    <row r="698" spans="1:70" ht="15.75" customHeight="1">
      <c r="A698" s="2289"/>
      <c r="B698" s="2289"/>
      <c r="C698" s="2289"/>
      <c r="D698" s="2289"/>
      <c r="E698" s="2289"/>
      <c r="F698" s="2289"/>
      <c r="G698" s="2290"/>
      <c r="H698" s="2289"/>
      <c r="I698" s="2289"/>
      <c r="J698" s="2290"/>
      <c r="K698" s="2289"/>
      <c r="L698" s="2289"/>
      <c r="M698" s="2290"/>
      <c r="N698" s="2290"/>
      <c r="O698" s="2290"/>
      <c r="P698" s="2290"/>
      <c r="Q698" s="2289"/>
      <c r="R698" s="2289"/>
      <c r="S698" s="2289"/>
      <c r="T698" s="2291"/>
      <c r="U698" s="2289"/>
      <c r="V698" s="2289"/>
      <c r="W698" s="2289"/>
      <c r="X698" s="2292"/>
      <c r="Y698" s="2292"/>
      <c r="Z698" s="2289"/>
      <c r="AA698" s="2289"/>
      <c r="AB698" s="2289"/>
      <c r="AC698" s="2289"/>
      <c r="AD698" s="2293"/>
      <c r="AE698" s="2293"/>
      <c r="AF698" s="2293"/>
      <c r="AG698" s="2293"/>
      <c r="AH698" s="2289"/>
      <c r="AI698" s="2289"/>
      <c r="AJ698" s="2294"/>
      <c r="AK698" s="2294"/>
      <c r="AL698" s="2289"/>
      <c r="AM698" s="2289"/>
      <c r="AN698" s="2289"/>
      <c r="AO698" s="2289"/>
      <c r="AP698" s="2289"/>
      <c r="AQ698" s="2289"/>
      <c r="AR698" s="2294"/>
      <c r="AS698" s="2294"/>
      <c r="AT698" s="2295"/>
      <c r="AU698" s="2295"/>
      <c r="AV698" s="2295"/>
      <c r="AW698" s="2295"/>
      <c r="AX698" s="2296"/>
      <c r="AY698" s="2289"/>
      <c r="AZ698" s="2289"/>
      <c r="BA698" s="2289"/>
      <c r="BB698" s="2289"/>
      <c r="BC698" s="2289"/>
      <c r="BD698" s="2289"/>
      <c r="BE698" s="2289"/>
      <c r="BF698" s="2289"/>
      <c r="BG698" s="2289"/>
      <c r="BH698" s="2289"/>
      <c r="BI698" s="2289"/>
      <c r="BJ698" s="2289"/>
      <c r="BK698" s="2289"/>
      <c r="BL698" s="2289"/>
      <c r="BM698" s="2289"/>
      <c r="BN698" s="2289"/>
      <c r="BO698" s="2289"/>
      <c r="BP698" s="2289"/>
      <c r="BQ698" s="2289"/>
      <c r="BR698" s="2289"/>
    </row>
    <row r="699" spans="1:70" ht="15.75" customHeight="1">
      <c r="A699" s="2289"/>
      <c r="B699" s="2289"/>
      <c r="C699" s="2289"/>
      <c r="D699" s="2289"/>
      <c r="E699" s="2289"/>
      <c r="F699" s="2289"/>
      <c r="G699" s="2290"/>
      <c r="H699" s="2289"/>
      <c r="I699" s="2289"/>
      <c r="J699" s="2290"/>
      <c r="K699" s="2289"/>
      <c r="L699" s="2289"/>
      <c r="M699" s="2290"/>
      <c r="N699" s="2290"/>
      <c r="O699" s="2290"/>
      <c r="P699" s="2290"/>
      <c r="Q699" s="2289"/>
      <c r="R699" s="2289"/>
      <c r="S699" s="2289"/>
      <c r="T699" s="2291"/>
      <c r="U699" s="2289"/>
      <c r="V699" s="2289"/>
      <c r="W699" s="2289"/>
      <c r="X699" s="2292"/>
      <c r="Y699" s="2292"/>
      <c r="Z699" s="2289"/>
      <c r="AA699" s="2289"/>
      <c r="AB699" s="2289"/>
      <c r="AC699" s="2289"/>
      <c r="AD699" s="2293"/>
      <c r="AE699" s="2293"/>
      <c r="AF699" s="2293"/>
      <c r="AG699" s="2293"/>
      <c r="AH699" s="2289"/>
      <c r="AI699" s="2289"/>
      <c r="AJ699" s="2294"/>
      <c r="AK699" s="2294"/>
      <c r="AL699" s="2289"/>
      <c r="AM699" s="2289"/>
      <c r="AN699" s="2289"/>
      <c r="AO699" s="2289"/>
      <c r="AP699" s="2289"/>
      <c r="AQ699" s="2289"/>
      <c r="AR699" s="2294"/>
      <c r="AS699" s="2294"/>
      <c r="AT699" s="2295"/>
      <c r="AU699" s="2295"/>
      <c r="AV699" s="2295"/>
      <c r="AW699" s="2295"/>
      <c r="AX699" s="2296"/>
      <c r="AY699" s="2289"/>
      <c r="AZ699" s="2289"/>
      <c r="BA699" s="2289"/>
      <c r="BB699" s="2289"/>
      <c r="BC699" s="2289"/>
      <c r="BD699" s="2289"/>
      <c r="BE699" s="2289"/>
      <c r="BF699" s="2289"/>
      <c r="BG699" s="2289"/>
      <c r="BH699" s="2289"/>
      <c r="BI699" s="2289"/>
      <c r="BJ699" s="2289"/>
      <c r="BK699" s="2289"/>
      <c r="BL699" s="2289"/>
      <c r="BM699" s="2289"/>
      <c r="BN699" s="2289"/>
      <c r="BO699" s="2289"/>
      <c r="BP699" s="2289"/>
      <c r="BQ699" s="2289"/>
      <c r="BR699" s="2289"/>
    </row>
    <row r="700" spans="1:70" ht="15.75" customHeight="1">
      <c r="A700" s="2289"/>
      <c r="B700" s="2289"/>
      <c r="C700" s="2289"/>
      <c r="D700" s="2289"/>
      <c r="E700" s="2289"/>
      <c r="F700" s="2289"/>
      <c r="G700" s="2290"/>
      <c r="H700" s="2289"/>
      <c r="I700" s="2289"/>
      <c r="J700" s="2290"/>
      <c r="K700" s="2289"/>
      <c r="L700" s="2289"/>
      <c r="M700" s="2290"/>
      <c r="N700" s="2290"/>
      <c r="O700" s="2290"/>
      <c r="P700" s="2290"/>
      <c r="Q700" s="2289"/>
      <c r="R700" s="2289"/>
      <c r="S700" s="2289"/>
      <c r="T700" s="2291"/>
      <c r="U700" s="2289"/>
      <c r="V700" s="2289"/>
      <c r="W700" s="2289"/>
      <c r="X700" s="2292"/>
      <c r="Y700" s="2292"/>
      <c r="Z700" s="2289"/>
      <c r="AA700" s="2289"/>
      <c r="AB700" s="2289"/>
      <c r="AC700" s="2289"/>
      <c r="AD700" s="2293"/>
      <c r="AE700" s="2293"/>
      <c r="AF700" s="2293"/>
      <c r="AG700" s="2293"/>
      <c r="AH700" s="2289"/>
      <c r="AI700" s="2289"/>
      <c r="AJ700" s="2294"/>
      <c r="AK700" s="2294"/>
      <c r="AL700" s="2289"/>
      <c r="AM700" s="2289"/>
      <c r="AN700" s="2289"/>
      <c r="AO700" s="2289"/>
      <c r="AP700" s="2289"/>
      <c r="AQ700" s="2289"/>
      <c r="AR700" s="2294"/>
      <c r="AS700" s="2294"/>
      <c r="AT700" s="2295"/>
      <c r="AU700" s="2295"/>
      <c r="AV700" s="2295"/>
      <c r="AW700" s="2295"/>
      <c r="AX700" s="2296"/>
      <c r="AY700" s="2289"/>
      <c r="AZ700" s="2289"/>
      <c r="BA700" s="2289"/>
      <c r="BB700" s="2289"/>
      <c r="BC700" s="2289"/>
      <c r="BD700" s="2289"/>
      <c r="BE700" s="2289"/>
      <c r="BF700" s="2289"/>
      <c r="BG700" s="2289"/>
      <c r="BH700" s="2289"/>
      <c r="BI700" s="2289"/>
      <c r="BJ700" s="2289"/>
      <c r="BK700" s="2289"/>
      <c r="BL700" s="2289"/>
      <c r="BM700" s="2289"/>
      <c r="BN700" s="2289"/>
      <c r="BO700" s="2289"/>
      <c r="BP700" s="2289"/>
      <c r="BQ700" s="2289"/>
      <c r="BR700" s="2289"/>
    </row>
    <row r="701" spans="1:70" ht="15.75" customHeight="1">
      <c r="A701" s="2289"/>
      <c r="B701" s="2289"/>
      <c r="C701" s="2289"/>
      <c r="D701" s="2289"/>
      <c r="E701" s="2289"/>
      <c r="F701" s="2289"/>
      <c r="G701" s="2290"/>
      <c r="H701" s="2289"/>
      <c r="I701" s="2289"/>
      <c r="J701" s="2290"/>
      <c r="K701" s="2289"/>
      <c r="L701" s="2289"/>
      <c r="M701" s="2290"/>
      <c r="N701" s="2290"/>
      <c r="O701" s="2290"/>
      <c r="P701" s="2290"/>
      <c r="Q701" s="2289"/>
      <c r="R701" s="2289"/>
      <c r="S701" s="2289"/>
      <c r="T701" s="2291"/>
      <c r="U701" s="2289"/>
      <c r="V701" s="2289"/>
      <c r="W701" s="2289"/>
      <c r="X701" s="2292"/>
      <c r="Y701" s="2292"/>
      <c r="Z701" s="2289"/>
      <c r="AA701" s="2289"/>
      <c r="AB701" s="2289"/>
      <c r="AC701" s="2289"/>
      <c r="AD701" s="2293"/>
      <c r="AE701" s="2293"/>
      <c r="AF701" s="2293"/>
      <c r="AG701" s="2293"/>
      <c r="AH701" s="2289"/>
      <c r="AI701" s="2289"/>
      <c r="AJ701" s="2294"/>
      <c r="AK701" s="2294"/>
      <c r="AL701" s="2289"/>
      <c r="AM701" s="2289"/>
      <c r="AN701" s="2289"/>
      <c r="AO701" s="2289"/>
      <c r="AP701" s="2289"/>
      <c r="AQ701" s="2289"/>
      <c r="AR701" s="2294"/>
      <c r="AS701" s="2294"/>
      <c r="AT701" s="2295"/>
      <c r="AU701" s="2295"/>
      <c r="AV701" s="2295"/>
      <c r="AW701" s="2295"/>
      <c r="AX701" s="2296"/>
      <c r="AY701" s="2289"/>
      <c r="AZ701" s="2289"/>
      <c r="BA701" s="2289"/>
      <c r="BB701" s="2289"/>
      <c r="BC701" s="2289"/>
      <c r="BD701" s="2289"/>
      <c r="BE701" s="2289"/>
      <c r="BF701" s="2289"/>
      <c r="BG701" s="2289"/>
      <c r="BH701" s="2289"/>
      <c r="BI701" s="2289"/>
      <c r="BJ701" s="2289"/>
      <c r="BK701" s="2289"/>
      <c r="BL701" s="2289"/>
      <c r="BM701" s="2289"/>
      <c r="BN701" s="2289"/>
      <c r="BO701" s="2289"/>
      <c r="BP701" s="2289"/>
      <c r="BQ701" s="2289"/>
      <c r="BR701" s="2289"/>
    </row>
    <row r="702" spans="1:70" ht="15.75" customHeight="1">
      <c r="A702" s="2289"/>
      <c r="B702" s="2289"/>
      <c r="C702" s="2289"/>
      <c r="D702" s="2289"/>
      <c r="E702" s="2289"/>
      <c r="F702" s="2289"/>
      <c r="G702" s="2290"/>
      <c r="H702" s="2289"/>
      <c r="I702" s="2289"/>
      <c r="J702" s="2290"/>
      <c r="K702" s="2289"/>
      <c r="L702" s="2289"/>
      <c r="M702" s="2290"/>
      <c r="N702" s="2290"/>
      <c r="O702" s="2290"/>
      <c r="P702" s="2290"/>
      <c r="Q702" s="2289"/>
      <c r="R702" s="2289"/>
      <c r="S702" s="2289"/>
      <c r="T702" s="2291"/>
      <c r="U702" s="2289"/>
      <c r="V702" s="2289"/>
      <c r="W702" s="2289"/>
      <c r="X702" s="2292"/>
      <c r="Y702" s="2292"/>
      <c r="Z702" s="2289"/>
      <c r="AA702" s="2289"/>
      <c r="AB702" s="2289"/>
      <c r="AC702" s="2289"/>
      <c r="AD702" s="2293"/>
      <c r="AE702" s="2293"/>
      <c r="AF702" s="2293"/>
      <c r="AG702" s="2293"/>
      <c r="AH702" s="2289"/>
      <c r="AI702" s="2289"/>
      <c r="AJ702" s="2294"/>
      <c r="AK702" s="2294"/>
      <c r="AL702" s="2289"/>
      <c r="AM702" s="2289"/>
      <c r="AN702" s="2289"/>
      <c r="AO702" s="2289"/>
      <c r="AP702" s="2289"/>
      <c r="AQ702" s="2289"/>
      <c r="AR702" s="2294"/>
      <c r="AS702" s="2294"/>
      <c r="AT702" s="2295"/>
      <c r="AU702" s="2295"/>
      <c r="AV702" s="2295"/>
      <c r="AW702" s="2295"/>
      <c r="AX702" s="2296"/>
      <c r="AY702" s="2289"/>
      <c r="AZ702" s="2289"/>
      <c r="BA702" s="2289"/>
      <c r="BB702" s="2289"/>
      <c r="BC702" s="2289"/>
      <c r="BD702" s="2289"/>
      <c r="BE702" s="2289"/>
      <c r="BF702" s="2289"/>
      <c r="BG702" s="2289"/>
      <c r="BH702" s="2289"/>
      <c r="BI702" s="2289"/>
      <c r="BJ702" s="2289"/>
      <c r="BK702" s="2289"/>
      <c r="BL702" s="2289"/>
      <c r="BM702" s="2289"/>
      <c r="BN702" s="2289"/>
      <c r="BO702" s="2289"/>
      <c r="BP702" s="2289"/>
      <c r="BQ702" s="2289"/>
      <c r="BR702" s="2289"/>
    </row>
    <row r="703" spans="1:70" ht="15.75" customHeight="1">
      <c r="A703" s="2289"/>
      <c r="B703" s="2289"/>
      <c r="C703" s="2289"/>
      <c r="D703" s="2289"/>
      <c r="E703" s="2289"/>
      <c r="F703" s="2289"/>
      <c r="G703" s="2290"/>
      <c r="H703" s="2289"/>
      <c r="I703" s="2289"/>
      <c r="J703" s="2290"/>
      <c r="K703" s="2289"/>
      <c r="L703" s="2289"/>
      <c r="M703" s="2290"/>
      <c r="N703" s="2290"/>
      <c r="O703" s="2290"/>
      <c r="P703" s="2290"/>
      <c r="Q703" s="2289"/>
      <c r="R703" s="2289"/>
      <c r="S703" s="2289"/>
      <c r="T703" s="2291"/>
      <c r="U703" s="2289"/>
      <c r="V703" s="2289"/>
      <c r="W703" s="2289"/>
      <c r="X703" s="2292"/>
      <c r="Y703" s="2292"/>
      <c r="Z703" s="2289"/>
      <c r="AA703" s="2289"/>
      <c r="AB703" s="2289"/>
      <c r="AC703" s="2289"/>
      <c r="AD703" s="2293"/>
      <c r="AE703" s="2293"/>
      <c r="AF703" s="2293"/>
      <c r="AG703" s="2293"/>
      <c r="AH703" s="2289"/>
      <c r="AI703" s="2289"/>
      <c r="AJ703" s="2294"/>
      <c r="AK703" s="2294"/>
      <c r="AL703" s="2289"/>
      <c r="AM703" s="2289"/>
      <c r="AN703" s="2289"/>
      <c r="AO703" s="2289"/>
      <c r="AP703" s="2289"/>
      <c r="AQ703" s="2289"/>
      <c r="AR703" s="2294"/>
      <c r="AS703" s="2294"/>
      <c r="AT703" s="2295"/>
      <c r="AU703" s="2295"/>
      <c r="AV703" s="2295"/>
      <c r="AW703" s="2295"/>
      <c r="AX703" s="2296"/>
      <c r="AY703" s="2289"/>
      <c r="AZ703" s="2289"/>
      <c r="BA703" s="2289"/>
      <c r="BB703" s="2289"/>
      <c r="BC703" s="2289"/>
      <c r="BD703" s="2289"/>
      <c r="BE703" s="2289"/>
      <c r="BF703" s="2289"/>
      <c r="BG703" s="2289"/>
      <c r="BH703" s="2289"/>
      <c r="BI703" s="2289"/>
      <c r="BJ703" s="2289"/>
      <c r="BK703" s="2289"/>
      <c r="BL703" s="2289"/>
      <c r="BM703" s="2289"/>
      <c r="BN703" s="2289"/>
      <c r="BO703" s="2289"/>
      <c r="BP703" s="2289"/>
      <c r="BQ703" s="2289"/>
      <c r="BR703" s="2289"/>
    </row>
    <row r="704" spans="1:70" ht="15.75" customHeight="1">
      <c r="A704" s="2289"/>
      <c r="B704" s="2289"/>
      <c r="C704" s="2289"/>
      <c r="D704" s="2289"/>
      <c r="E704" s="2289"/>
      <c r="F704" s="2289"/>
      <c r="G704" s="2290"/>
      <c r="H704" s="2289"/>
      <c r="I704" s="2289"/>
      <c r="J704" s="2290"/>
      <c r="K704" s="2289"/>
      <c r="L704" s="2289"/>
      <c r="M704" s="2290"/>
      <c r="N704" s="2290"/>
      <c r="O704" s="2290"/>
      <c r="P704" s="2290"/>
      <c r="Q704" s="2289"/>
      <c r="R704" s="2289"/>
      <c r="S704" s="2289"/>
      <c r="T704" s="2291"/>
      <c r="U704" s="2289"/>
      <c r="V704" s="2289"/>
      <c r="W704" s="2289"/>
      <c r="X704" s="2292"/>
      <c r="Y704" s="2292"/>
      <c r="Z704" s="2289"/>
      <c r="AA704" s="2289"/>
      <c r="AB704" s="2289"/>
      <c r="AC704" s="2289"/>
      <c r="AD704" s="2293"/>
      <c r="AE704" s="2293"/>
      <c r="AF704" s="2293"/>
      <c r="AG704" s="2293"/>
      <c r="AH704" s="2289"/>
      <c r="AI704" s="2289"/>
      <c r="AJ704" s="2294"/>
      <c r="AK704" s="2294"/>
      <c r="AL704" s="2289"/>
      <c r="AM704" s="2289"/>
      <c r="AN704" s="2289"/>
      <c r="AO704" s="2289"/>
      <c r="AP704" s="2289"/>
      <c r="AQ704" s="2289"/>
      <c r="AR704" s="2294"/>
      <c r="AS704" s="2294"/>
      <c r="AT704" s="2295"/>
      <c r="AU704" s="2295"/>
      <c r="AV704" s="2295"/>
      <c r="AW704" s="2295"/>
      <c r="AX704" s="2296"/>
      <c r="AY704" s="2289"/>
      <c r="AZ704" s="2289"/>
      <c r="BA704" s="2289"/>
      <c r="BB704" s="2289"/>
      <c r="BC704" s="2289"/>
      <c r="BD704" s="2289"/>
      <c r="BE704" s="2289"/>
      <c r="BF704" s="2289"/>
      <c r="BG704" s="2289"/>
      <c r="BH704" s="2289"/>
      <c r="BI704" s="2289"/>
      <c r="BJ704" s="2289"/>
      <c r="BK704" s="2289"/>
      <c r="BL704" s="2289"/>
      <c r="BM704" s="2289"/>
      <c r="BN704" s="2289"/>
      <c r="BO704" s="2289"/>
      <c r="BP704" s="2289"/>
      <c r="BQ704" s="2289"/>
      <c r="BR704" s="2289"/>
    </row>
    <row r="705" spans="1:70" ht="15.75" customHeight="1">
      <c r="A705" s="2289"/>
      <c r="B705" s="2289"/>
      <c r="C705" s="2289"/>
      <c r="D705" s="2289"/>
      <c r="E705" s="2289"/>
      <c r="F705" s="2289"/>
      <c r="G705" s="2290"/>
      <c r="H705" s="2289"/>
      <c r="I705" s="2289"/>
      <c r="J705" s="2290"/>
      <c r="K705" s="2289"/>
      <c r="L705" s="2289"/>
      <c r="M705" s="2290"/>
      <c r="N705" s="2290"/>
      <c r="O705" s="2290"/>
      <c r="P705" s="2290"/>
      <c r="Q705" s="2289"/>
      <c r="R705" s="2289"/>
      <c r="S705" s="2289"/>
      <c r="T705" s="2291"/>
      <c r="U705" s="2289"/>
      <c r="V705" s="2289"/>
      <c r="W705" s="2289"/>
      <c r="X705" s="2292"/>
      <c r="Y705" s="2292"/>
      <c r="Z705" s="2289"/>
      <c r="AA705" s="2289"/>
      <c r="AB705" s="2289"/>
      <c r="AC705" s="2289"/>
      <c r="AD705" s="2293"/>
      <c r="AE705" s="2293"/>
      <c r="AF705" s="2293"/>
      <c r="AG705" s="2293"/>
      <c r="AH705" s="2289"/>
      <c r="AI705" s="2289"/>
      <c r="AJ705" s="2294"/>
      <c r="AK705" s="2294"/>
      <c r="AL705" s="2289"/>
      <c r="AM705" s="2289"/>
      <c r="AN705" s="2289"/>
      <c r="AO705" s="2289"/>
      <c r="AP705" s="2289"/>
      <c r="AQ705" s="2289"/>
      <c r="AR705" s="2294"/>
      <c r="AS705" s="2294"/>
      <c r="AT705" s="2295"/>
      <c r="AU705" s="2295"/>
      <c r="AV705" s="2295"/>
      <c r="AW705" s="2295"/>
      <c r="AX705" s="2296"/>
      <c r="AY705" s="2289"/>
      <c r="AZ705" s="2289"/>
      <c r="BA705" s="2289"/>
      <c r="BB705" s="2289"/>
      <c r="BC705" s="2289"/>
      <c r="BD705" s="2289"/>
      <c r="BE705" s="2289"/>
      <c r="BF705" s="2289"/>
      <c r="BG705" s="2289"/>
      <c r="BH705" s="2289"/>
      <c r="BI705" s="2289"/>
      <c r="BJ705" s="2289"/>
      <c r="BK705" s="2289"/>
      <c r="BL705" s="2289"/>
      <c r="BM705" s="2289"/>
      <c r="BN705" s="2289"/>
      <c r="BO705" s="2289"/>
      <c r="BP705" s="2289"/>
      <c r="BQ705" s="2289"/>
      <c r="BR705" s="2289"/>
    </row>
    <row r="706" spans="1:70" ht="15.75" customHeight="1">
      <c r="A706" s="2289"/>
      <c r="B706" s="2289"/>
      <c r="C706" s="2289"/>
      <c r="D706" s="2289"/>
      <c r="E706" s="2289"/>
      <c r="F706" s="2289"/>
      <c r="G706" s="2290"/>
      <c r="H706" s="2289"/>
      <c r="I706" s="2289"/>
      <c r="J706" s="2290"/>
      <c r="K706" s="2289"/>
      <c r="L706" s="2289"/>
      <c r="M706" s="2290"/>
      <c r="N706" s="2290"/>
      <c r="O706" s="2290"/>
      <c r="P706" s="2290"/>
      <c r="Q706" s="2289"/>
      <c r="R706" s="2289"/>
      <c r="S706" s="2289"/>
      <c r="T706" s="2291"/>
      <c r="U706" s="2289"/>
      <c r="V706" s="2289"/>
      <c r="W706" s="2289"/>
      <c r="X706" s="2292"/>
      <c r="Y706" s="2292"/>
      <c r="Z706" s="2289"/>
      <c r="AA706" s="2289"/>
      <c r="AB706" s="2289"/>
      <c r="AC706" s="2289"/>
      <c r="AD706" s="2293"/>
      <c r="AE706" s="2293"/>
      <c r="AF706" s="2293"/>
      <c r="AG706" s="2293"/>
      <c r="AH706" s="2289"/>
      <c r="AI706" s="2289"/>
      <c r="AJ706" s="2294"/>
      <c r="AK706" s="2294"/>
      <c r="AL706" s="2289"/>
      <c r="AM706" s="2289"/>
      <c r="AN706" s="2289"/>
      <c r="AO706" s="2289"/>
      <c r="AP706" s="2289"/>
      <c r="AQ706" s="2289"/>
      <c r="AR706" s="2294"/>
      <c r="AS706" s="2294"/>
      <c r="AT706" s="2295"/>
      <c r="AU706" s="2295"/>
      <c r="AV706" s="2295"/>
      <c r="AW706" s="2295"/>
      <c r="AX706" s="2296"/>
      <c r="AY706" s="2289"/>
      <c r="AZ706" s="2289"/>
      <c r="BA706" s="2289"/>
      <c r="BB706" s="2289"/>
      <c r="BC706" s="2289"/>
      <c r="BD706" s="2289"/>
      <c r="BE706" s="2289"/>
      <c r="BF706" s="2289"/>
      <c r="BG706" s="2289"/>
      <c r="BH706" s="2289"/>
      <c r="BI706" s="2289"/>
      <c r="BJ706" s="2289"/>
      <c r="BK706" s="2289"/>
      <c r="BL706" s="2289"/>
      <c r="BM706" s="2289"/>
      <c r="BN706" s="2289"/>
      <c r="BO706" s="2289"/>
      <c r="BP706" s="2289"/>
      <c r="BQ706" s="2289"/>
      <c r="BR706" s="2289"/>
    </row>
    <row r="707" spans="1:70" ht="15.75" customHeight="1">
      <c r="A707" s="2289"/>
      <c r="B707" s="2289"/>
      <c r="C707" s="2289"/>
      <c r="D707" s="2289"/>
      <c r="E707" s="2289"/>
      <c r="F707" s="2289"/>
      <c r="G707" s="2290"/>
      <c r="H707" s="2289"/>
      <c r="I707" s="2289"/>
      <c r="J707" s="2290"/>
      <c r="K707" s="2289"/>
      <c r="L707" s="2289"/>
      <c r="M707" s="2290"/>
      <c r="N707" s="2290"/>
      <c r="O707" s="2290"/>
      <c r="P707" s="2290"/>
      <c r="Q707" s="2289"/>
      <c r="R707" s="2289"/>
      <c r="S707" s="2289"/>
      <c r="T707" s="2291"/>
      <c r="U707" s="2289"/>
      <c r="V707" s="2289"/>
      <c r="W707" s="2289"/>
      <c r="X707" s="2292"/>
      <c r="Y707" s="2292"/>
      <c r="Z707" s="2289"/>
      <c r="AA707" s="2289"/>
      <c r="AB707" s="2289"/>
      <c r="AC707" s="2289"/>
      <c r="AD707" s="2293"/>
      <c r="AE707" s="2293"/>
      <c r="AF707" s="2293"/>
      <c r="AG707" s="2293"/>
      <c r="AH707" s="2289"/>
      <c r="AI707" s="2289"/>
      <c r="AJ707" s="2294"/>
      <c r="AK707" s="2294"/>
      <c r="AL707" s="2289"/>
      <c r="AM707" s="2289"/>
      <c r="AN707" s="2289"/>
      <c r="AO707" s="2289"/>
      <c r="AP707" s="2289"/>
      <c r="AQ707" s="2289"/>
      <c r="AR707" s="2294"/>
      <c r="AS707" s="2294"/>
      <c r="AT707" s="2295"/>
      <c r="AU707" s="2295"/>
      <c r="AV707" s="2295"/>
      <c r="AW707" s="2295"/>
      <c r="AX707" s="2296"/>
      <c r="AY707" s="2289"/>
      <c r="AZ707" s="2289"/>
      <c r="BA707" s="2289"/>
      <c r="BB707" s="2289"/>
      <c r="BC707" s="2289"/>
      <c r="BD707" s="2289"/>
      <c r="BE707" s="2289"/>
      <c r="BF707" s="2289"/>
      <c r="BG707" s="2289"/>
      <c r="BH707" s="2289"/>
      <c r="BI707" s="2289"/>
      <c r="BJ707" s="2289"/>
      <c r="BK707" s="2289"/>
      <c r="BL707" s="2289"/>
      <c r="BM707" s="2289"/>
      <c r="BN707" s="2289"/>
      <c r="BO707" s="2289"/>
      <c r="BP707" s="2289"/>
      <c r="BQ707" s="2289"/>
      <c r="BR707" s="2289"/>
    </row>
    <row r="708" spans="1:70" ht="15.75" customHeight="1">
      <c r="A708" s="2289"/>
      <c r="B708" s="2289"/>
      <c r="C708" s="2289"/>
      <c r="D708" s="2289"/>
      <c r="E708" s="2289"/>
      <c r="F708" s="2289"/>
      <c r="G708" s="2290"/>
      <c r="H708" s="2289"/>
      <c r="I708" s="2289"/>
      <c r="J708" s="2290"/>
      <c r="K708" s="2289"/>
      <c r="L708" s="2289"/>
      <c r="M708" s="2290"/>
      <c r="N708" s="2290"/>
      <c r="O708" s="2290"/>
      <c r="P708" s="2290"/>
      <c r="Q708" s="2289"/>
      <c r="R708" s="2289"/>
      <c r="S708" s="2289"/>
      <c r="T708" s="2291"/>
      <c r="U708" s="2289"/>
      <c r="V708" s="2289"/>
      <c r="W708" s="2289"/>
      <c r="X708" s="2292"/>
      <c r="Y708" s="2292"/>
      <c r="Z708" s="2289"/>
      <c r="AA708" s="2289"/>
      <c r="AB708" s="2289"/>
      <c r="AC708" s="2289"/>
      <c r="AD708" s="2293"/>
      <c r="AE708" s="2293"/>
      <c r="AF708" s="2293"/>
      <c r="AG708" s="2293"/>
      <c r="AH708" s="2289"/>
      <c r="AI708" s="2289"/>
      <c r="AJ708" s="2294"/>
      <c r="AK708" s="2294"/>
      <c r="AL708" s="2289"/>
      <c r="AM708" s="2289"/>
      <c r="AN708" s="2289"/>
      <c r="AO708" s="2289"/>
      <c r="AP708" s="2289"/>
      <c r="AQ708" s="2289"/>
      <c r="AR708" s="2294"/>
      <c r="AS708" s="2294"/>
      <c r="AT708" s="2295"/>
      <c r="AU708" s="2295"/>
      <c r="AV708" s="2295"/>
      <c r="AW708" s="2295"/>
      <c r="AX708" s="2296"/>
      <c r="AY708" s="2289"/>
      <c r="AZ708" s="2289"/>
      <c r="BA708" s="2289"/>
      <c r="BB708" s="2289"/>
      <c r="BC708" s="2289"/>
      <c r="BD708" s="2289"/>
      <c r="BE708" s="2289"/>
      <c r="BF708" s="2289"/>
      <c r="BG708" s="2289"/>
      <c r="BH708" s="2289"/>
      <c r="BI708" s="2289"/>
      <c r="BJ708" s="2289"/>
      <c r="BK708" s="2289"/>
      <c r="BL708" s="2289"/>
      <c r="BM708" s="2289"/>
      <c r="BN708" s="2289"/>
      <c r="BO708" s="2289"/>
      <c r="BP708" s="2289"/>
      <c r="BQ708" s="2289"/>
      <c r="BR708" s="2289"/>
    </row>
    <row r="709" spans="1:70" ht="15.75" customHeight="1">
      <c r="A709" s="2289"/>
      <c r="B709" s="2289"/>
      <c r="C709" s="2289"/>
      <c r="D709" s="2289"/>
      <c r="E709" s="2289"/>
      <c r="F709" s="2289"/>
      <c r="G709" s="2290"/>
      <c r="H709" s="2289"/>
      <c r="I709" s="2289"/>
      <c r="J709" s="2290"/>
      <c r="K709" s="2289"/>
      <c r="L709" s="2289"/>
      <c r="M709" s="2290"/>
      <c r="N709" s="2290"/>
      <c r="O709" s="2290"/>
      <c r="P709" s="2290"/>
      <c r="Q709" s="2289"/>
      <c r="R709" s="2289"/>
      <c r="S709" s="2289"/>
      <c r="T709" s="2291"/>
      <c r="U709" s="2289"/>
      <c r="V709" s="2289"/>
      <c r="W709" s="2289"/>
      <c r="X709" s="2292"/>
      <c r="Y709" s="2292"/>
      <c r="Z709" s="2289"/>
      <c r="AA709" s="2289"/>
      <c r="AB709" s="2289"/>
      <c r="AC709" s="2289"/>
      <c r="AD709" s="2293"/>
      <c r="AE709" s="2293"/>
      <c r="AF709" s="2293"/>
      <c r="AG709" s="2293"/>
      <c r="AH709" s="2289"/>
      <c r="AI709" s="2289"/>
      <c r="AJ709" s="2294"/>
      <c r="AK709" s="2294"/>
      <c r="AL709" s="2289"/>
      <c r="AM709" s="2289"/>
      <c r="AN709" s="2289"/>
      <c r="AO709" s="2289"/>
      <c r="AP709" s="2289"/>
      <c r="AQ709" s="2289"/>
      <c r="AR709" s="2294"/>
      <c r="AS709" s="2294"/>
      <c r="AT709" s="2295"/>
      <c r="AU709" s="2295"/>
      <c r="AV709" s="2295"/>
      <c r="AW709" s="2295"/>
      <c r="AX709" s="2296"/>
      <c r="AY709" s="2289"/>
      <c r="AZ709" s="2289"/>
      <c r="BA709" s="2289"/>
      <c r="BB709" s="2289"/>
      <c r="BC709" s="2289"/>
      <c r="BD709" s="2289"/>
      <c r="BE709" s="2289"/>
      <c r="BF709" s="2289"/>
      <c r="BG709" s="2289"/>
      <c r="BH709" s="2289"/>
      <c r="BI709" s="2289"/>
      <c r="BJ709" s="2289"/>
      <c r="BK709" s="2289"/>
      <c r="BL709" s="2289"/>
      <c r="BM709" s="2289"/>
      <c r="BN709" s="2289"/>
      <c r="BO709" s="2289"/>
      <c r="BP709" s="2289"/>
      <c r="BQ709" s="2289"/>
      <c r="BR709" s="2289"/>
    </row>
    <row r="710" spans="1:70" ht="15.75" customHeight="1">
      <c r="A710" s="2289"/>
      <c r="B710" s="2289"/>
      <c r="C710" s="2289"/>
      <c r="D710" s="2289"/>
      <c r="E710" s="2289"/>
      <c r="F710" s="2289"/>
      <c r="G710" s="2290"/>
      <c r="H710" s="2289"/>
      <c r="I710" s="2289"/>
      <c r="J710" s="2290"/>
      <c r="K710" s="2289"/>
      <c r="L710" s="2289"/>
      <c r="M710" s="2290"/>
      <c r="N710" s="2290"/>
      <c r="O710" s="2290"/>
      <c r="P710" s="2290"/>
      <c r="Q710" s="2289"/>
      <c r="R710" s="2289"/>
      <c r="S710" s="2289"/>
      <c r="T710" s="2291"/>
      <c r="U710" s="2289"/>
      <c r="V710" s="2289"/>
      <c r="W710" s="2289"/>
      <c r="X710" s="2292"/>
      <c r="Y710" s="2292"/>
      <c r="Z710" s="2289"/>
      <c r="AA710" s="2289"/>
      <c r="AB710" s="2289"/>
      <c r="AC710" s="2289"/>
      <c r="AD710" s="2293"/>
      <c r="AE710" s="2293"/>
      <c r="AF710" s="2293"/>
      <c r="AG710" s="2293"/>
      <c r="AH710" s="2289"/>
      <c r="AI710" s="2289"/>
      <c r="AJ710" s="2294"/>
      <c r="AK710" s="2294"/>
      <c r="AL710" s="2289"/>
      <c r="AM710" s="2289"/>
      <c r="AN710" s="2289"/>
      <c r="AO710" s="2289"/>
      <c r="AP710" s="2289"/>
      <c r="AQ710" s="2289"/>
      <c r="AR710" s="2294"/>
      <c r="AS710" s="2294"/>
      <c r="AT710" s="2295"/>
      <c r="AU710" s="2295"/>
      <c r="AV710" s="2295"/>
      <c r="AW710" s="2295"/>
      <c r="AX710" s="2296"/>
      <c r="AY710" s="2289"/>
      <c r="AZ710" s="2289"/>
      <c r="BA710" s="2289"/>
      <c r="BB710" s="2289"/>
      <c r="BC710" s="2289"/>
      <c r="BD710" s="2289"/>
      <c r="BE710" s="2289"/>
      <c r="BF710" s="2289"/>
      <c r="BG710" s="2289"/>
      <c r="BH710" s="2289"/>
      <c r="BI710" s="2289"/>
      <c r="BJ710" s="2289"/>
      <c r="BK710" s="2289"/>
      <c r="BL710" s="2289"/>
      <c r="BM710" s="2289"/>
      <c r="BN710" s="2289"/>
      <c r="BO710" s="2289"/>
      <c r="BP710" s="2289"/>
      <c r="BQ710" s="2289"/>
      <c r="BR710" s="2289"/>
    </row>
    <row r="711" spans="1:70" ht="15.75" customHeight="1">
      <c r="A711" s="2289"/>
      <c r="B711" s="2289"/>
      <c r="C711" s="2289"/>
      <c r="D711" s="2289"/>
      <c r="E711" s="2289"/>
      <c r="F711" s="2289"/>
      <c r="G711" s="2290"/>
      <c r="H711" s="2289"/>
      <c r="I711" s="2289"/>
      <c r="J711" s="2290"/>
      <c r="K711" s="2289"/>
      <c r="L711" s="2289"/>
      <c r="M711" s="2290"/>
      <c r="N711" s="2290"/>
      <c r="O711" s="2290"/>
      <c r="P711" s="2290"/>
      <c r="Q711" s="2289"/>
      <c r="R711" s="2289"/>
      <c r="S711" s="2289"/>
      <c r="T711" s="2291"/>
      <c r="U711" s="2289"/>
      <c r="V711" s="2289"/>
      <c r="W711" s="2289"/>
      <c r="X711" s="2292"/>
      <c r="Y711" s="2292"/>
      <c r="Z711" s="2289"/>
      <c r="AA711" s="2289"/>
      <c r="AB711" s="2289"/>
      <c r="AC711" s="2289"/>
      <c r="AD711" s="2293"/>
      <c r="AE711" s="2293"/>
      <c r="AF711" s="2293"/>
      <c r="AG711" s="2293"/>
      <c r="AH711" s="2289"/>
      <c r="AI711" s="2289"/>
      <c r="AJ711" s="2294"/>
      <c r="AK711" s="2294"/>
      <c r="AL711" s="2289"/>
      <c r="AM711" s="2289"/>
      <c r="AN711" s="2289"/>
      <c r="AO711" s="2289"/>
      <c r="AP711" s="2289"/>
      <c r="AQ711" s="2289"/>
      <c r="AR711" s="2294"/>
      <c r="AS711" s="2294"/>
      <c r="AT711" s="2295"/>
      <c r="AU711" s="2295"/>
      <c r="AV711" s="2295"/>
      <c r="AW711" s="2295"/>
      <c r="AX711" s="2296"/>
      <c r="AY711" s="2289"/>
      <c r="AZ711" s="2289"/>
      <c r="BA711" s="2289"/>
      <c r="BB711" s="2289"/>
      <c r="BC711" s="2289"/>
      <c r="BD711" s="2289"/>
      <c r="BE711" s="2289"/>
      <c r="BF711" s="2289"/>
      <c r="BG711" s="2289"/>
      <c r="BH711" s="2289"/>
      <c r="BI711" s="2289"/>
      <c r="BJ711" s="2289"/>
      <c r="BK711" s="2289"/>
      <c r="BL711" s="2289"/>
      <c r="BM711" s="2289"/>
      <c r="BN711" s="2289"/>
      <c r="BO711" s="2289"/>
      <c r="BP711" s="2289"/>
      <c r="BQ711" s="2289"/>
      <c r="BR711" s="2289"/>
    </row>
    <row r="712" spans="1:70" ht="15.75" customHeight="1">
      <c r="A712" s="2289"/>
      <c r="B712" s="2289"/>
      <c r="C712" s="2289"/>
      <c r="D712" s="2289"/>
      <c r="E712" s="2289"/>
      <c r="F712" s="2289"/>
      <c r="G712" s="2290"/>
      <c r="H712" s="2289"/>
      <c r="I712" s="2289"/>
      <c r="J712" s="2290"/>
      <c r="K712" s="2289"/>
      <c r="L712" s="2289"/>
      <c r="M712" s="2290"/>
      <c r="N712" s="2290"/>
      <c r="O712" s="2290"/>
      <c r="P712" s="2290"/>
      <c r="Q712" s="2289"/>
      <c r="R712" s="2289"/>
      <c r="S712" s="2289"/>
      <c r="T712" s="2291"/>
      <c r="U712" s="2289"/>
      <c r="V712" s="2289"/>
      <c r="W712" s="2289"/>
      <c r="X712" s="2292"/>
      <c r="Y712" s="2292"/>
      <c r="Z712" s="2289"/>
      <c r="AA712" s="2289"/>
      <c r="AB712" s="2289"/>
      <c r="AC712" s="2289"/>
      <c r="AD712" s="2293"/>
      <c r="AE712" s="2293"/>
      <c r="AF712" s="2293"/>
      <c r="AG712" s="2293"/>
      <c r="AH712" s="2289"/>
      <c r="AI712" s="2289"/>
      <c r="AJ712" s="2294"/>
      <c r="AK712" s="2294"/>
      <c r="AL712" s="2289"/>
      <c r="AM712" s="2289"/>
      <c r="AN712" s="2289"/>
      <c r="AO712" s="2289"/>
      <c r="AP712" s="2289"/>
      <c r="AQ712" s="2289"/>
      <c r="AR712" s="2294"/>
      <c r="AS712" s="2294"/>
      <c r="AT712" s="2295"/>
      <c r="AU712" s="2295"/>
      <c r="AV712" s="2295"/>
      <c r="AW712" s="2295"/>
      <c r="AX712" s="2296"/>
      <c r="AY712" s="2289"/>
      <c r="AZ712" s="2289"/>
      <c r="BA712" s="2289"/>
      <c r="BB712" s="2289"/>
      <c r="BC712" s="2289"/>
      <c r="BD712" s="2289"/>
      <c r="BE712" s="2289"/>
      <c r="BF712" s="2289"/>
      <c r="BG712" s="2289"/>
      <c r="BH712" s="2289"/>
      <c r="BI712" s="2289"/>
      <c r="BJ712" s="2289"/>
      <c r="BK712" s="2289"/>
      <c r="BL712" s="2289"/>
      <c r="BM712" s="2289"/>
      <c r="BN712" s="2289"/>
      <c r="BO712" s="2289"/>
      <c r="BP712" s="2289"/>
      <c r="BQ712" s="2289"/>
      <c r="BR712" s="2289"/>
    </row>
    <row r="713" spans="1:70" ht="15.75" customHeight="1">
      <c r="A713" s="2289"/>
      <c r="B713" s="2289"/>
      <c r="C713" s="2289"/>
      <c r="D713" s="2289"/>
      <c r="E713" s="2289"/>
      <c r="F713" s="2289"/>
      <c r="G713" s="2290"/>
      <c r="H713" s="2289"/>
      <c r="I713" s="2289"/>
      <c r="J713" s="2290"/>
      <c r="K713" s="2289"/>
      <c r="L713" s="2289"/>
      <c r="M713" s="2290"/>
      <c r="N713" s="2290"/>
      <c r="O713" s="2290"/>
      <c r="P713" s="2290"/>
      <c r="Q713" s="2289"/>
      <c r="R713" s="2289"/>
      <c r="S713" s="2289"/>
      <c r="T713" s="2291"/>
      <c r="U713" s="2289"/>
      <c r="V713" s="2289"/>
      <c r="W713" s="2289"/>
      <c r="X713" s="2292"/>
      <c r="Y713" s="2292"/>
      <c r="Z713" s="2289"/>
      <c r="AA713" s="2289"/>
      <c r="AB713" s="2289"/>
      <c r="AC713" s="2289"/>
      <c r="AD713" s="2293"/>
      <c r="AE713" s="2293"/>
      <c r="AF713" s="2293"/>
      <c r="AG713" s="2293"/>
      <c r="AH713" s="2289"/>
      <c r="AI713" s="2289"/>
      <c r="AJ713" s="2294"/>
      <c r="AK713" s="2294"/>
      <c r="AL713" s="2289"/>
      <c r="AM713" s="2289"/>
      <c r="AN713" s="2289"/>
      <c r="AO713" s="2289"/>
      <c r="AP713" s="2289"/>
      <c r="AQ713" s="2289"/>
      <c r="AR713" s="2294"/>
      <c r="AS713" s="2294"/>
      <c r="AT713" s="2295"/>
      <c r="AU713" s="2295"/>
      <c r="AV713" s="2295"/>
      <c r="AW713" s="2295"/>
      <c r="AX713" s="2296"/>
      <c r="AY713" s="2289"/>
      <c r="AZ713" s="2289"/>
      <c r="BA713" s="2289"/>
      <c r="BB713" s="2289"/>
      <c r="BC713" s="2289"/>
      <c r="BD713" s="2289"/>
      <c r="BE713" s="2289"/>
      <c r="BF713" s="2289"/>
      <c r="BG713" s="2289"/>
      <c r="BH713" s="2289"/>
      <c r="BI713" s="2289"/>
      <c r="BJ713" s="2289"/>
      <c r="BK713" s="2289"/>
      <c r="BL713" s="2289"/>
      <c r="BM713" s="2289"/>
      <c r="BN713" s="2289"/>
      <c r="BO713" s="2289"/>
      <c r="BP713" s="2289"/>
      <c r="BQ713" s="2289"/>
      <c r="BR713" s="2289"/>
    </row>
    <row r="714" spans="1:70" ht="15.75" customHeight="1">
      <c r="A714" s="2289"/>
      <c r="B714" s="2289"/>
      <c r="C714" s="2289"/>
      <c r="D714" s="2289"/>
      <c r="E714" s="2289"/>
      <c r="F714" s="2289"/>
      <c r="G714" s="2290"/>
      <c r="H714" s="2289"/>
      <c r="I714" s="2289"/>
      <c r="J714" s="2290"/>
      <c r="K714" s="2289"/>
      <c r="L714" s="2289"/>
      <c r="M714" s="2290"/>
      <c r="N714" s="2290"/>
      <c r="O714" s="2290"/>
      <c r="P714" s="2290"/>
      <c r="Q714" s="2289"/>
      <c r="R714" s="2289"/>
      <c r="S714" s="2289"/>
      <c r="T714" s="2291"/>
      <c r="U714" s="2289"/>
      <c r="V714" s="2289"/>
      <c r="W714" s="2289"/>
      <c r="X714" s="2292"/>
      <c r="Y714" s="2292"/>
      <c r="Z714" s="2289"/>
      <c r="AA714" s="2289"/>
      <c r="AB714" s="2289"/>
      <c r="AC714" s="2289"/>
      <c r="AD714" s="2293"/>
      <c r="AE714" s="2293"/>
      <c r="AF714" s="2293"/>
      <c r="AG714" s="2293"/>
      <c r="AH714" s="2289"/>
      <c r="AI714" s="2289"/>
      <c r="AJ714" s="2294"/>
      <c r="AK714" s="2294"/>
      <c r="AL714" s="2289"/>
      <c r="AM714" s="2289"/>
      <c r="AN714" s="2289"/>
      <c r="AO714" s="2289"/>
      <c r="AP714" s="2289"/>
      <c r="AQ714" s="2289"/>
      <c r="AR714" s="2294"/>
      <c r="AS714" s="2294"/>
      <c r="AT714" s="2295"/>
      <c r="AU714" s="2295"/>
      <c r="AV714" s="2295"/>
      <c r="AW714" s="2295"/>
      <c r="AX714" s="2296"/>
      <c r="AY714" s="2289"/>
      <c r="AZ714" s="2289"/>
      <c r="BA714" s="2289"/>
      <c r="BB714" s="2289"/>
      <c r="BC714" s="2289"/>
      <c r="BD714" s="2289"/>
      <c r="BE714" s="2289"/>
      <c r="BF714" s="2289"/>
      <c r="BG714" s="2289"/>
      <c r="BH714" s="2289"/>
      <c r="BI714" s="2289"/>
      <c r="BJ714" s="2289"/>
      <c r="BK714" s="2289"/>
      <c r="BL714" s="2289"/>
      <c r="BM714" s="2289"/>
      <c r="BN714" s="2289"/>
      <c r="BO714" s="2289"/>
      <c r="BP714" s="2289"/>
      <c r="BQ714" s="2289"/>
      <c r="BR714" s="2289"/>
    </row>
    <row r="715" spans="1:70" ht="15.75" customHeight="1">
      <c r="A715" s="2289"/>
      <c r="B715" s="2289"/>
      <c r="C715" s="2289"/>
      <c r="D715" s="2289"/>
      <c r="E715" s="2289"/>
      <c r="F715" s="2289"/>
      <c r="G715" s="2290"/>
      <c r="H715" s="2289"/>
      <c r="I715" s="2289"/>
      <c r="J715" s="2290"/>
      <c r="K715" s="2289"/>
      <c r="L715" s="2289"/>
      <c r="M715" s="2290"/>
      <c r="N715" s="2290"/>
      <c r="O715" s="2290"/>
      <c r="P715" s="2290"/>
      <c r="Q715" s="2289"/>
      <c r="R715" s="2289"/>
      <c r="S715" s="2289"/>
      <c r="T715" s="2291"/>
      <c r="U715" s="2289"/>
      <c r="V715" s="2289"/>
      <c r="W715" s="2289"/>
      <c r="X715" s="2292"/>
      <c r="Y715" s="2292"/>
      <c r="Z715" s="2289"/>
      <c r="AA715" s="2289"/>
      <c r="AB715" s="2289"/>
      <c r="AC715" s="2289"/>
      <c r="AD715" s="2293"/>
      <c r="AE715" s="2293"/>
      <c r="AF715" s="2293"/>
      <c r="AG715" s="2293"/>
      <c r="AH715" s="2289"/>
      <c r="AI715" s="2289"/>
      <c r="AJ715" s="2294"/>
      <c r="AK715" s="2294"/>
      <c r="AL715" s="2289"/>
      <c r="AM715" s="2289"/>
      <c r="AN715" s="2289"/>
      <c r="AO715" s="2289"/>
      <c r="AP715" s="2289"/>
      <c r="AQ715" s="2289"/>
      <c r="AR715" s="2294"/>
      <c r="AS715" s="2294"/>
      <c r="AT715" s="2295"/>
      <c r="AU715" s="2295"/>
      <c r="AV715" s="2295"/>
      <c r="AW715" s="2295"/>
      <c r="AX715" s="2296"/>
      <c r="AY715" s="2289"/>
      <c r="AZ715" s="2289"/>
      <c r="BA715" s="2289"/>
      <c r="BB715" s="2289"/>
      <c r="BC715" s="2289"/>
      <c r="BD715" s="2289"/>
      <c r="BE715" s="2289"/>
      <c r="BF715" s="2289"/>
      <c r="BG715" s="2289"/>
      <c r="BH715" s="2289"/>
      <c r="BI715" s="2289"/>
      <c r="BJ715" s="2289"/>
      <c r="BK715" s="2289"/>
      <c r="BL715" s="2289"/>
      <c r="BM715" s="2289"/>
      <c r="BN715" s="2289"/>
      <c r="BO715" s="2289"/>
      <c r="BP715" s="2289"/>
      <c r="BQ715" s="2289"/>
      <c r="BR715" s="2289"/>
    </row>
    <row r="716" spans="1:70" ht="15.75" customHeight="1">
      <c r="A716" s="2289"/>
      <c r="B716" s="2289"/>
      <c r="C716" s="2289"/>
      <c r="D716" s="2289"/>
      <c r="E716" s="2289"/>
      <c r="F716" s="2289"/>
      <c r="G716" s="2290"/>
      <c r="H716" s="2289"/>
      <c r="I716" s="2289"/>
      <c r="J716" s="2290"/>
      <c r="K716" s="2289"/>
      <c r="L716" s="2289"/>
      <c r="M716" s="2290"/>
      <c r="N716" s="2290"/>
      <c r="O716" s="2290"/>
      <c r="P716" s="2290"/>
      <c r="Q716" s="2289"/>
      <c r="R716" s="2289"/>
      <c r="S716" s="2289"/>
      <c r="T716" s="2291"/>
      <c r="U716" s="2289"/>
      <c r="V716" s="2289"/>
      <c r="W716" s="2289"/>
      <c r="X716" s="2292"/>
      <c r="Y716" s="2292"/>
      <c r="Z716" s="2289"/>
      <c r="AA716" s="2289"/>
      <c r="AB716" s="2289"/>
      <c r="AC716" s="2289"/>
      <c r="AD716" s="2293"/>
      <c r="AE716" s="2293"/>
      <c r="AF716" s="2293"/>
      <c r="AG716" s="2293"/>
      <c r="AH716" s="2289"/>
      <c r="AI716" s="2289"/>
      <c r="AJ716" s="2294"/>
      <c r="AK716" s="2294"/>
      <c r="AL716" s="2289"/>
      <c r="AM716" s="2289"/>
      <c r="AN716" s="2289"/>
      <c r="AO716" s="2289"/>
      <c r="AP716" s="2289"/>
      <c r="AQ716" s="2289"/>
      <c r="AR716" s="2294"/>
      <c r="AS716" s="2294"/>
      <c r="AT716" s="2295"/>
      <c r="AU716" s="2295"/>
      <c r="AV716" s="2295"/>
      <c r="AW716" s="2295"/>
      <c r="AX716" s="2296"/>
      <c r="AY716" s="2289"/>
      <c r="AZ716" s="2289"/>
      <c r="BA716" s="2289"/>
      <c r="BB716" s="2289"/>
      <c r="BC716" s="2289"/>
      <c r="BD716" s="2289"/>
      <c r="BE716" s="2289"/>
      <c r="BF716" s="2289"/>
      <c r="BG716" s="2289"/>
      <c r="BH716" s="2289"/>
      <c r="BI716" s="2289"/>
      <c r="BJ716" s="2289"/>
      <c r="BK716" s="2289"/>
      <c r="BL716" s="2289"/>
      <c r="BM716" s="2289"/>
      <c r="BN716" s="2289"/>
      <c r="BO716" s="2289"/>
      <c r="BP716" s="2289"/>
      <c r="BQ716" s="2289"/>
      <c r="BR716" s="2289"/>
    </row>
    <row r="717" spans="1:70" ht="15.75" customHeight="1">
      <c r="A717" s="2289"/>
      <c r="B717" s="2289"/>
      <c r="C717" s="2289"/>
      <c r="D717" s="2289"/>
      <c r="E717" s="2289"/>
      <c r="F717" s="2289"/>
      <c r="G717" s="2290"/>
      <c r="H717" s="2289"/>
      <c r="I717" s="2289"/>
      <c r="J717" s="2290"/>
      <c r="K717" s="2289"/>
      <c r="L717" s="2289"/>
      <c r="M717" s="2290"/>
      <c r="N717" s="2290"/>
      <c r="O717" s="2290"/>
      <c r="P717" s="2290"/>
      <c r="Q717" s="2289"/>
      <c r="R717" s="2289"/>
      <c r="S717" s="2289"/>
      <c r="T717" s="2291"/>
      <c r="U717" s="2289"/>
      <c r="V717" s="2289"/>
      <c r="W717" s="2289"/>
      <c r="X717" s="2292"/>
      <c r="Y717" s="2292"/>
      <c r="Z717" s="2289"/>
      <c r="AA717" s="2289"/>
      <c r="AB717" s="2289"/>
      <c r="AC717" s="2289"/>
      <c r="AD717" s="2293"/>
      <c r="AE717" s="2293"/>
      <c r="AF717" s="2293"/>
      <c r="AG717" s="2293"/>
      <c r="AH717" s="2289"/>
      <c r="AI717" s="2289"/>
      <c r="AJ717" s="2294"/>
      <c r="AK717" s="2294"/>
      <c r="AL717" s="2289"/>
      <c r="AM717" s="2289"/>
      <c r="AN717" s="2289"/>
      <c r="AO717" s="2289"/>
      <c r="AP717" s="2289"/>
      <c r="AQ717" s="2289"/>
      <c r="AR717" s="2294"/>
      <c r="AS717" s="2294"/>
      <c r="AT717" s="2295"/>
      <c r="AU717" s="2295"/>
      <c r="AV717" s="2295"/>
      <c r="AW717" s="2295"/>
      <c r="AX717" s="2296"/>
      <c r="AY717" s="2289"/>
      <c r="AZ717" s="2289"/>
      <c r="BA717" s="2289"/>
      <c r="BB717" s="2289"/>
      <c r="BC717" s="2289"/>
      <c r="BD717" s="2289"/>
      <c r="BE717" s="2289"/>
      <c r="BF717" s="2289"/>
      <c r="BG717" s="2289"/>
      <c r="BH717" s="2289"/>
      <c r="BI717" s="2289"/>
      <c r="BJ717" s="2289"/>
      <c r="BK717" s="2289"/>
      <c r="BL717" s="2289"/>
      <c r="BM717" s="2289"/>
      <c r="BN717" s="2289"/>
      <c r="BO717" s="2289"/>
      <c r="BP717" s="2289"/>
      <c r="BQ717" s="2289"/>
      <c r="BR717" s="2289"/>
    </row>
    <row r="718" spans="1:70" ht="15.75" customHeight="1">
      <c r="A718" s="2289"/>
      <c r="B718" s="2289"/>
      <c r="C718" s="2289"/>
      <c r="D718" s="2289"/>
      <c r="E718" s="2289"/>
      <c r="F718" s="2289"/>
      <c r="G718" s="2290"/>
      <c r="H718" s="2289"/>
      <c r="I718" s="2289"/>
      <c r="J718" s="2290"/>
      <c r="K718" s="2289"/>
      <c r="L718" s="2289"/>
      <c r="M718" s="2290"/>
      <c r="N718" s="2290"/>
      <c r="O718" s="2290"/>
      <c r="P718" s="2290"/>
      <c r="Q718" s="2289"/>
      <c r="R718" s="2289"/>
      <c r="S718" s="2289"/>
      <c r="T718" s="2291"/>
      <c r="U718" s="2289"/>
      <c r="V718" s="2289"/>
      <c r="W718" s="2289"/>
      <c r="X718" s="2292"/>
      <c r="Y718" s="2292"/>
      <c r="Z718" s="2289"/>
      <c r="AA718" s="2289"/>
      <c r="AB718" s="2289"/>
      <c r="AC718" s="2289"/>
      <c r="AD718" s="2293"/>
      <c r="AE718" s="2293"/>
      <c r="AF718" s="2293"/>
      <c r="AG718" s="2293"/>
      <c r="AH718" s="2289"/>
      <c r="AI718" s="2289"/>
      <c r="AJ718" s="2294"/>
      <c r="AK718" s="2294"/>
      <c r="AL718" s="2289"/>
      <c r="AM718" s="2289"/>
      <c r="AN718" s="2289"/>
      <c r="AO718" s="2289"/>
      <c r="AP718" s="2289"/>
      <c r="AQ718" s="2289"/>
      <c r="AR718" s="2294"/>
      <c r="AS718" s="2294"/>
      <c r="AT718" s="2295"/>
      <c r="AU718" s="2295"/>
      <c r="AV718" s="2295"/>
      <c r="AW718" s="2295"/>
      <c r="AX718" s="2296"/>
      <c r="AY718" s="2289"/>
      <c r="AZ718" s="2289"/>
      <c r="BA718" s="2289"/>
      <c r="BB718" s="2289"/>
      <c r="BC718" s="2289"/>
      <c r="BD718" s="2289"/>
      <c r="BE718" s="2289"/>
      <c r="BF718" s="2289"/>
      <c r="BG718" s="2289"/>
      <c r="BH718" s="2289"/>
      <c r="BI718" s="2289"/>
      <c r="BJ718" s="2289"/>
      <c r="BK718" s="2289"/>
      <c r="BL718" s="2289"/>
      <c r="BM718" s="2289"/>
      <c r="BN718" s="2289"/>
      <c r="BO718" s="2289"/>
      <c r="BP718" s="2289"/>
      <c r="BQ718" s="2289"/>
      <c r="BR718" s="2289"/>
    </row>
    <row r="719" spans="1:70" ht="15.75" customHeight="1">
      <c r="A719" s="2289"/>
      <c r="B719" s="2289"/>
      <c r="C719" s="2289"/>
      <c r="D719" s="2289"/>
      <c r="E719" s="2289"/>
      <c r="F719" s="2289"/>
      <c r="G719" s="2290"/>
      <c r="H719" s="2289"/>
      <c r="I719" s="2289"/>
      <c r="J719" s="2290"/>
      <c r="K719" s="2289"/>
      <c r="L719" s="2289"/>
      <c r="M719" s="2290"/>
      <c r="N719" s="2290"/>
      <c r="O719" s="2290"/>
      <c r="P719" s="2290"/>
      <c r="Q719" s="2289"/>
      <c r="R719" s="2289"/>
      <c r="S719" s="2289"/>
      <c r="T719" s="2291"/>
      <c r="U719" s="2289"/>
      <c r="V719" s="2289"/>
      <c r="W719" s="2289"/>
      <c r="X719" s="2292"/>
      <c r="Y719" s="2292"/>
      <c r="Z719" s="2289"/>
      <c r="AA719" s="2289"/>
      <c r="AB719" s="2289"/>
      <c r="AC719" s="2289"/>
      <c r="AD719" s="2293"/>
      <c r="AE719" s="2293"/>
      <c r="AF719" s="2293"/>
      <c r="AG719" s="2293"/>
      <c r="AH719" s="2289"/>
      <c r="AI719" s="2289"/>
      <c r="AJ719" s="2294"/>
      <c r="AK719" s="2294"/>
      <c r="AL719" s="2289"/>
      <c r="AM719" s="2289"/>
      <c r="AN719" s="2289"/>
      <c r="AO719" s="2289"/>
      <c r="AP719" s="2289"/>
      <c r="AQ719" s="2289"/>
      <c r="AR719" s="2294"/>
      <c r="AS719" s="2294"/>
      <c r="AT719" s="2295"/>
      <c r="AU719" s="2295"/>
      <c r="AV719" s="2295"/>
      <c r="AW719" s="2295"/>
      <c r="AX719" s="2296"/>
      <c r="AY719" s="2289"/>
      <c r="AZ719" s="2289"/>
      <c r="BA719" s="2289"/>
      <c r="BB719" s="2289"/>
      <c r="BC719" s="2289"/>
      <c r="BD719" s="2289"/>
      <c r="BE719" s="2289"/>
      <c r="BF719" s="2289"/>
      <c r="BG719" s="2289"/>
      <c r="BH719" s="2289"/>
      <c r="BI719" s="2289"/>
      <c r="BJ719" s="2289"/>
      <c r="BK719" s="2289"/>
      <c r="BL719" s="2289"/>
      <c r="BM719" s="2289"/>
      <c r="BN719" s="2289"/>
      <c r="BO719" s="2289"/>
      <c r="BP719" s="2289"/>
      <c r="BQ719" s="2289"/>
      <c r="BR719" s="2289"/>
    </row>
    <row r="720" spans="1:70" ht="15.75" customHeight="1">
      <c r="A720" s="2289"/>
      <c r="B720" s="2289"/>
      <c r="C720" s="2289"/>
      <c r="D720" s="2289"/>
      <c r="E720" s="2289"/>
      <c r="F720" s="2289"/>
      <c r="G720" s="2290"/>
      <c r="H720" s="2289"/>
      <c r="I720" s="2289"/>
      <c r="J720" s="2290"/>
      <c r="K720" s="2289"/>
      <c r="L720" s="2289"/>
      <c r="M720" s="2290"/>
      <c r="N720" s="2290"/>
      <c r="O720" s="2290"/>
      <c r="P720" s="2290"/>
      <c r="Q720" s="2289"/>
      <c r="R720" s="2289"/>
      <c r="S720" s="2289"/>
      <c r="T720" s="2291"/>
      <c r="U720" s="2289"/>
      <c r="V720" s="2289"/>
      <c r="W720" s="2289"/>
      <c r="X720" s="2292"/>
      <c r="Y720" s="2292"/>
      <c r="Z720" s="2289"/>
      <c r="AA720" s="2289"/>
      <c r="AB720" s="2289"/>
      <c r="AC720" s="2289"/>
      <c r="AD720" s="2293"/>
      <c r="AE720" s="2293"/>
      <c r="AF720" s="2293"/>
      <c r="AG720" s="2293"/>
      <c r="AH720" s="2289"/>
      <c r="AI720" s="2289"/>
      <c r="AJ720" s="2294"/>
      <c r="AK720" s="2294"/>
      <c r="AL720" s="2289"/>
      <c r="AM720" s="2289"/>
      <c r="AN720" s="2289"/>
      <c r="AO720" s="2289"/>
      <c r="AP720" s="2289"/>
      <c r="AQ720" s="2289"/>
      <c r="AR720" s="2294"/>
      <c r="AS720" s="2294"/>
      <c r="AT720" s="2295"/>
      <c r="AU720" s="2295"/>
      <c r="AV720" s="2295"/>
      <c r="AW720" s="2295"/>
      <c r="AX720" s="2296"/>
      <c r="AY720" s="2289"/>
      <c r="AZ720" s="2289"/>
      <c r="BA720" s="2289"/>
      <c r="BB720" s="2289"/>
      <c r="BC720" s="2289"/>
      <c r="BD720" s="2289"/>
      <c r="BE720" s="2289"/>
      <c r="BF720" s="2289"/>
      <c r="BG720" s="2289"/>
      <c r="BH720" s="2289"/>
      <c r="BI720" s="2289"/>
      <c r="BJ720" s="2289"/>
      <c r="BK720" s="2289"/>
      <c r="BL720" s="2289"/>
      <c r="BM720" s="2289"/>
      <c r="BN720" s="2289"/>
      <c r="BO720" s="2289"/>
      <c r="BP720" s="2289"/>
      <c r="BQ720" s="2289"/>
      <c r="BR720" s="2289"/>
    </row>
    <row r="721" spans="1:70" ht="15.75" customHeight="1">
      <c r="A721" s="2289"/>
      <c r="B721" s="2289"/>
      <c r="C721" s="2289"/>
      <c r="D721" s="2289"/>
      <c r="E721" s="2289"/>
      <c r="F721" s="2289"/>
      <c r="G721" s="2290"/>
      <c r="H721" s="2289"/>
      <c r="I721" s="2289"/>
      <c r="J721" s="2290"/>
      <c r="K721" s="2289"/>
      <c r="L721" s="2289"/>
      <c r="M721" s="2290"/>
      <c r="N721" s="2290"/>
      <c r="O721" s="2290"/>
      <c r="P721" s="2290"/>
      <c r="Q721" s="2289"/>
      <c r="R721" s="2289"/>
      <c r="S721" s="2289"/>
      <c r="T721" s="2291"/>
      <c r="U721" s="2289"/>
      <c r="V721" s="2289"/>
      <c r="W721" s="2289"/>
      <c r="X721" s="2292"/>
      <c r="Y721" s="2292"/>
      <c r="Z721" s="2289"/>
      <c r="AA721" s="2289"/>
      <c r="AB721" s="2289"/>
      <c r="AC721" s="2289"/>
      <c r="AD721" s="2293"/>
      <c r="AE721" s="2293"/>
      <c r="AF721" s="2293"/>
      <c r="AG721" s="2293"/>
      <c r="AH721" s="2289"/>
      <c r="AI721" s="2289"/>
      <c r="AJ721" s="2294"/>
      <c r="AK721" s="2294"/>
      <c r="AL721" s="2289"/>
      <c r="AM721" s="2289"/>
      <c r="AN721" s="2289"/>
      <c r="AO721" s="2289"/>
      <c r="AP721" s="2289"/>
      <c r="AQ721" s="2289"/>
      <c r="AR721" s="2294"/>
      <c r="AS721" s="2294"/>
      <c r="AT721" s="2295"/>
      <c r="AU721" s="2295"/>
      <c r="AV721" s="2295"/>
      <c r="AW721" s="2295"/>
      <c r="AX721" s="2296"/>
      <c r="AY721" s="2289"/>
      <c r="AZ721" s="2289"/>
      <c r="BA721" s="2289"/>
      <c r="BB721" s="2289"/>
      <c r="BC721" s="2289"/>
      <c r="BD721" s="2289"/>
      <c r="BE721" s="2289"/>
      <c r="BF721" s="2289"/>
      <c r="BG721" s="2289"/>
      <c r="BH721" s="2289"/>
      <c r="BI721" s="2289"/>
      <c r="BJ721" s="2289"/>
      <c r="BK721" s="2289"/>
      <c r="BL721" s="2289"/>
      <c r="BM721" s="2289"/>
      <c r="BN721" s="2289"/>
      <c r="BO721" s="2289"/>
      <c r="BP721" s="2289"/>
      <c r="BQ721" s="2289"/>
      <c r="BR721" s="2289"/>
    </row>
    <row r="722" spans="1:70" ht="15.75" customHeight="1">
      <c r="A722" s="2289"/>
      <c r="B722" s="2289"/>
      <c r="C722" s="2289"/>
      <c r="D722" s="2289"/>
      <c r="E722" s="2289"/>
      <c r="F722" s="2289"/>
      <c r="G722" s="2290"/>
      <c r="H722" s="2289"/>
      <c r="I722" s="2289"/>
      <c r="J722" s="2290"/>
      <c r="K722" s="2289"/>
      <c r="L722" s="2289"/>
      <c r="M722" s="2290"/>
      <c r="N722" s="2290"/>
      <c r="O722" s="2290"/>
      <c r="P722" s="2290"/>
      <c r="Q722" s="2289"/>
      <c r="R722" s="2289"/>
      <c r="S722" s="2289"/>
      <c r="T722" s="2291"/>
      <c r="U722" s="2289"/>
      <c r="V722" s="2289"/>
      <c r="W722" s="2289"/>
      <c r="X722" s="2292"/>
      <c r="Y722" s="2292"/>
      <c r="Z722" s="2289"/>
      <c r="AA722" s="2289"/>
      <c r="AB722" s="2289"/>
      <c r="AC722" s="2289"/>
      <c r="AD722" s="2293"/>
      <c r="AE722" s="2293"/>
      <c r="AF722" s="2293"/>
      <c r="AG722" s="2293"/>
      <c r="AH722" s="2289"/>
      <c r="AI722" s="2289"/>
      <c r="AJ722" s="2294"/>
      <c r="AK722" s="2294"/>
      <c r="AL722" s="2289"/>
      <c r="AM722" s="2289"/>
      <c r="AN722" s="2289"/>
      <c r="AO722" s="2289"/>
      <c r="AP722" s="2289"/>
      <c r="AQ722" s="2289"/>
      <c r="AR722" s="2294"/>
      <c r="AS722" s="2294"/>
      <c r="AT722" s="2295"/>
      <c r="AU722" s="2295"/>
      <c r="AV722" s="2295"/>
      <c r="AW722" s="2295"/>
      <c r="AX722" s="2296"/>
      <c r="AY722" s="2289"/>
      <c r="AZ722" s="2289"/>
      <c r="BA722" s="2289"/>
      <c r="BB722" s="2289"/>
      <c r="BC722" s="2289"/>
      <c r="BD722" s="2289"/>
      <c r="BE722" s="2289"/>
      <c r="BF722" s="2289"/>
      <c r="BG722" s="2289"/>
      <c r="BH722" s="2289"/>
      <c r="BI722" s="2289"/>
      <c r="BJ722" s="2289"/>
      <c r="BK722" s="2289"/>
      <c r="BL722" s="2289"/>
      <c r="BM722" s="2289"/>
      <c r="BN722" s="2289"/>
      <c r="BO722" s="2289"/>
      <c r="BP722" s="2289"/>
      <c r="BQ722" s="2289"/>
      <c r="BR722" s="2289"/>
    </row>
    <row r="723" spans="1:70" ht="15.75" customHeight="1">
      <c r="A723" s="2289"/>
      <c r="B723" s="2289"/>
      <c r="C723" s="2289"/>
      <c r="D723" s="2289"/>
      <c r="E723" s="2289"/>
      <c r="F723" s="2289"/>
      <c r="G723" s="2290"/>
      <c r="H723" s="2289"/>
      <c r="I723" s="2289"/>
      <c r="J723" s="2290"/>
      <c r="K723" s="2289"/>
      <c r="L723" s="2289"/>
      <c r="M723" s="2290"/>
      <c r="N723" s="2290"/>
      <c r="O723" s="2290"/>
      <c r="P723" s="2290"/>
      <c r="Q723" s="2289"/>
      <c r="R723" s="2289"/>
      <c r="S723" s="2289"/>
      <c r="T723" s="2291"/>
      <c r="U723" s="2289"/>
      <c r="V723" s="2289"/>
      <c r="W723" s="2289"/>
      <c r="X723" s="2292"/>
      <c r="Y723" s="2292"/>
      <c r="Z723" s="2289"/>
      <c r="AA723" s="2289"/>
      <c r="AB723" s="2289"/>
      <c r="AC723" s="2289"/>
      <c r="AD723" s="2293"/>
      <c r="AE723" s="2293"/>
      <c r="AF723" s="2293"/>
      <c r="AG723" s="2293"/>
      <c r="AH723" s="2289"/>
      <c r="AI723" s="2289"/>
      <c r="AJ723" s="2294"/>
      <c r="AK723" s="2294"/>
      <c r="AL723" s="2289"/>
      <c r="AM723" s="2289"/>
      <c r="AN723" s="2289"/>
      <c r="AO723" s="2289"/>
      <c r="AP723" s="2289"/>
      <c r="AQ723" s="2289"/>
      <c r="AR723" s="2294"/>
      <c r="AS723" s="2294"/>
      <c r="AT723" s="2295"/>
      <c r="AU723" s="2295"/>
      <c r="AV723" s="2295"/>
      <c r="AW723" s="2295"/>
      <c r="AX723" s="2296"/>
      <c r="AY723" s="2289"/>
      <c r="AZ723" s="2289"/>
      <c r="BA723" s="2289"/>
      <c r="BB723" s="2289"/>
      <c r="BC723" s="2289"/>
      <c r="BD723" s="2289"/>
      <c r="BE723" s="2289"/>
      <c r="BF723" s="2289"/>
      <c r="BG723" s="2289"/>
      <c r="BH723" s="2289"/>
      <c r="BI723" s="2289"/>
      <c r="BJ723" s="2289"/>
      <c r="BK723" s="2289"/>
      <c r="BL723" s="2289"/>
      <c r="BM723" s="2289"/>
      <c r="BN723" s="2289"/>
      <c r="BO723" s="2289"/>
      <c r="BP723" s="2289"/>
      <c r="BQ723" s="2289"/>
      <c r="BR723" s="2289"/>
    </row>
    <row r="724" spans="1:70" ht="15.75" customHeight="1">
      <c r="A724" s="2289"/>
      <c r="B724" s="2289"/>
      <c r="C724" s="2289"/>
      <c r="D724" s="2289"/>
      <c r="E724" s="2289"/>
      <c r="F724" s="2289"/>
      <c r="G724" s="2290"/>
      <c r="H724" s="2289"/>
      <c r="I724" s="2289"/>
      <c r="J724" s="2290"/>
      <c r="K724" s="2289"/>
      <c r="L724" s="2289"/>
      <c r="M724" s="2290"/>
      <c r="N724" s="2290"/>
      <c r="O724" s="2290"/>
      <c r="P724" s="2290"/>
      <c r="Q724" s="2289"/>
      <c r="R724" s="2289"/>
      <c r="S724" s="2289"/>
      <c r="T724" s="2291"/>
      <c r="U724" s="2289"/>
      <c r="V724" s="2289"/>
      <c r="W724" s="2289"/>
      <c r="X724" s="2292"/>
      <c r="Y724" s="2292"/>
      <c r="Z724" s="2289"/>
      <c r="AA724" s="2289"/>
      <c r="AB724" s="2289"/>
      <c r="AC724" s="2289"/>
      <c r="AD724" s="2293"/>
      <c r="AE724" s="2293"/>
      <c r="AF724" s="2293"/>
      <c r="AG724" s="2293"/>
      <c r="AH724" s="2289"/>
      <c r="AI724" s="2289"/>
      <c r="AJ724" s="2294"/>
      <c r="AK724" s="2294"/>
      <c r="AL724" s="2289"/>
      <c r="AM724" s="2289"/>
      <c r="AN724" s="2289"/>
      <c r="AO724" s="2289"/>
      <c r="AP724" s="2289"/>
      <c r="AQ724" s="2289"/>
      <c r="AR724" s="2294"/>
      <c r="AS724" s="2294"/>
      <c r="AT724" s="2295"/>
      <c r="AU724" s="2295"/>
      <c r="AV724" s="2295"/>
      <c r="AW724" s="2295"/>
      <c r="AX724" s="2296"/>
      <c r="AY724" s="2289"/>
      <c r="AZ724" s="2289"/>
      <c r="BA724" s="2289"/>
      <c r="BB724" s="2289"/>
      <c r="BC724" s="2289"/>
      <c r="BD724" s="2289"/>
      <c r="BE724" s="2289"/>
      <c r="BF724" s="2289"/>
      <c r="BG724" s="2289"/>
      <c r="BH724" s="2289"/>
      <c r="BI724" s="2289"/>
      <c r="BJ724" s="2289"/>
      <c r="BK724" s="2289"/>
      <c r="BL724" s="2289"/>
      <c r="BM724" s="2289"/>
      <c r="BN724" s="2289"/>
      <c r="BO724" s="2289"/>
      <c r="BP724" s="2289"/>
      <c r="BQ724" s="2289"/>
      <c r="BR724" s="2289"/>
    </row>
    <row r="725" spans="1:70" ht="15.75" customHeight="1">
      <c r="A725" s="2289"/>
      <c r="B725" s="2289"/>
      <c r="C725" s="2289"/>
      <c r="D725" s="2289"/>
      <c r="E725" s="2289"/>
      <c r="F725" s="2289"/>
      <c r="G725" s="2290"/>
      <c r="H725" s="2289"/>
      <c r="I725" s="2289"/>
      <c r="J725" s="2290"/>
      <c r="K725" s="2289"/>
      <c r="L725" s="2289"/>
      <c r="M725" s="2290"/>
      <c r="N725" s="2290"/>
      <c r="O725" s="2290"/>
      <c r="P725" s="2290"/>
      <c r="Q725" s="2289"/>
      <c r="R725" s="2289"/>
      <c r="S725" s="2289"/>
      <c r="T725" s="2291"/>
      <c r="U725" s="2289"/>
      <c r="V725" s="2289"/>
      <c r="W725" s="2289"/>
      <c r="X725" s="2292"/>
      <c r="Y725" s="2292"/>
      <c r="Z725" s="2289"/>
      <c r="AA725" s="2289"/>
      <c r="AB725" s="2289"/>
      <c r="AC725" s="2289"/>
      <c r="AD725" s="2293"/>
      <c r="AE725" s="2293"/>
      <c r="AF725" s="2293"/>
      <c r="AG725" s="2293"/>
      <c r="AH725" s="2289"/>
      <c r="AI725" s="2289"/>
      <c r="AJ725" s="2294"/>
      <c r="AK725" s="2294"/>
      <c r="AL725" s="2289"/>
      <c r="AM725" s="2289"/>
      <c r="AN725" s="2289"/>
      <c r="AO725" s="2289"/>
      <c r="AP725" s="2289"/>
      <c r="AQ725" s="2289"/>
      <c r="AR725" s="2294"/>
      <c r="AS725" s="2294"/>
      <c r="AT725" s="2295"/>
      <c r="AU725" s="2295"/>
      <c r="AV725" s="2295"/>
      <c r="AW725" s="2295"/>
      <c r="AX725" s="2296"/>
      <c r="AY725" s="2289"/>
      <c r="AZ725" s="2289"/>
      <c r="BA725" s="2289"/>
      <c r="BB725" s="2289"/>
      <c r="BC725" s="2289"/>
      <c r="BD725" s="2289"/>
      <c r="BE725" s="2289"/>
      <c r="BF725" s="2289"/>
      <c r="BG725" s="2289"/>
      <c r="BH725" s="2289"/>
      <c r="BI725" s="2289"/>
      <c r="BJ725" s="2289"/>
      <c r="BK725" s="2289"/>
      <c r="BL725" s="2289"/>
      <c r="BM725" s="2289"/>
      <c r="BN725" s="2289"/>
      <c r="BO725" s="2289"/>
      <c r="BP725" s="2289"/>
      <c r="BQ725" s="2289"/>
      <c r="BR725" s="2289"/>
    </row>
    <row r="726" spans="1:70" ht="15.75" customHeight="1">
      <c r="A726" s="2289"/>
      <c r="B726" s="2289"/>
      <c r="C726" s="2289"/>
      <c r="D726" s="2289"/>
      <c r="E726" s="2289"/>
      <c r="F726" s="2289"/>
      <c r="G726" s="2290"/>
      <c r="H726" s="2289"/>
      <c r="I726" s="2289"/>
      <c r="J726" s="2290"/>
      <c r="K726" s="2289"/>
      <c r="L726" s="2289"/>
      <c r="M726" s="2290"/>
      <c r="N726" s="2290"/>
      <c r="O726" s="2290"/>
      <c r="P726" s="2290"/>
      <c r="Q726" s="2289"/>
      <c r="R726" s="2289"/>
      <c r="S726" s="2289"/>
      <c r="T726" s="2291"/>
      <c r="U726" s="2289"/>
      <c r="V726" s="2289"/>
      <c r="W726" s="2289"/>
      <c r="X726" s="2292"/>
      <c r="Y726" s="2292"/>
      <c r="Z726" s="2289"/>
      <c r="AA726" s="2289"/>
      <c r="AB726" s="2289"/>
      <c r="AC726" s="2289"/>
      <c r="AD726" s="2293"/>
      <c r="AE726" s="2293"/>
      <c r="AF726" s="2293"/>
      <c r="AG726" s="2293"/>
      <c r="AH726" s="2289"/>
      <c r="AI726" s="2289"/>
      <c r="AJ726" s="2294"/>
      <c r="AK726" s="2294"/>
      <c r="AL726" s="2289"/>
      <c r="AM726" s="2289"/>
      <c r="AN726" s="2289"/>
      <c r="AO726" s="2289"/>
      <c r="AP726" s="2289"/>
      <c r="AQ726" s="2289"/>
      <c r="AR726" s="2294"/>
      <c r="AS726" s="2294"/>
      <c r="AT726" s="2295"/>
      <c r="AU726" s="2295"/>
      <c r="AV726" s="2295"/>
      <c r="AW726" s="2295"/>
      <c r="AX726" s="2296"/>
      <c r="AY726" s="2289"/>
      <c r="AZ726" s="2289"/>
      <c r="BA726" s="2289"/>
      <c r="BB726" s="2289"/>
      <c r="BC726" s="2289"/>
      <c r="BD726" s="2289"/>
      <c r="BE726" s="2289"/>
      <c r="BF726" s="2289"/>
      <c r="BG726" s="2289"/>
      <c r="BH726" s="2289"/>
      <c r="BI726" s="2289"/>
      <c r="BJ726" s="2289"/>
      <c r="BK726" s="2289"/>
      <c r="BL726" s="2289"/>
      <c r="BM726" s="2289"/>
      <c r="BN726" s="2289"/>
      <c r="BO726" s="2289"/>
      <c r="BP726" s="2289"/>
      <c r="BQ726" s="2289"/>
      <c r="BR726" s="2289"/>
    </row>
    <row r="727" spans="1:70" ht="15.75" customHeight="1">
      <c r="A727" s="2289"/>
      <c r="B727" s="2289"/>
      <c r="C727" s="2289"/>
      <c r="D727" s="2289"/>
      <c r="E727" s="2289"/>
      <c r="F727" s="2289"/>
      <c r="G727" s="2290"/>
      <c r="H727" s="2289"/>
      <c r="I727" s="2289"/>
      <c r="J727" s="2290"/>
      <c r="K727" s="2289"/>
      <c r="L727" s="2289"/>
      <c r="M727" s="2290"/>
      <c r="N727" s="2290"/>
      <c r="O727" s="2290"/>
      <c r="P727" s="2290"/>
      <c r="Q727" s="2289"/>
      <c r="R727" s="2289"/>
      <c r="S727" s="2289"/>
      <c r="T727" s="2291"/>
      <c r="U727" s="2289"/>
      <c r="V727" s="2289"/>
      <c r="W727" s="2289"/>
      <c r="X727" s="2292"/>
      <c r="Y727" s="2292"/>
      <c r="Z727" s="2289"/>
      <c r="AA727" s="2289"/>
      <c r="AB727" s="2289"/>
      <c r="AC727" s="2289"/>
      <c r="AD727" s="2293"/>
      <c r="AE727" s="2293"/>
      <c r="AF727" s="2293"/>
      <c r="AG727" s="2293"/>
      <c r="AH727" s="2289"/>
      <c r="AI727" s="2289"/>
      <c r="AJ727" s="2294"/>
      <c r="AK727" s="2294"/>
      <c r="AL727" s="2289"/>
      <c r="AM727" s="2289"/>
      <c r="AN727" s="2289"/>
      <c r="AO727" s="2289"/>
      <c r="AP727" s="2289"/>
      <c r="AQ727" s="2289"/>
      <c r="AR727" s="2294"/>
      <c r="AS727" s="2294"/>
      <c r="AT727" s="2295"/>
      <c r="AU727" s="2295"/>
      <c r="AV727" s="2295"/>
      <c r="AW727" s="2295"/>
      <c r="AX727" s="2296"/>
      <c r="AY727" s="2289"/>
      <c r="AZ727" s="2289"/>
      <c r="BA727" s="2289"/>
      <c r="BB727" s="2289"/>
      <c r="BC727" s="2289"/>
      <c r="BD727" s="2289"/>
      <c r="BE727" s="2289"/>
      <c r="BF727" s="2289"/>
      <c r="BG727" s="2289"/>
      <c r="BH727" s="2289"/>
      <c r="BI727" s="2289"/>
      <c r="BJ727" s="2289"/>
      <c r="BK727" s="2289"/>
      <c r="BL727" s="2289"/>
      <c r="BM727" s="2289"/>
      <c r="BN727" s="2289"/>
      <c r="BO727" s="2289"/>
      <c r="BP727" s="2289"/>
      <c r="BQ727" s="2289"/>
      <c r="BR727" s="2289"/>
    </row>
    <row r="728" spans="1:70" ht="15.75" customHeight="1">
      <c r="A728" s="2289"/>
      <c r="B728" s="2289"/>
      <c r="C728" s="2289"/>
      <c r="D728" s="2289"/>
      <c r="E728" s="2289"/>
      <c r="F728" s="2289"/>
      <c r="G728" s="2290"/>
      <c r="H728" s="2289"/>
      <c r="I728" s="2289"/>
      <c r="J728" s="2290"/>
      <c r="K728" s="2289"/>
      <c r="L728" s="2289"/>
      <c r="M728" s="2290"/>
      <c r="N728" s="2290"/>
      <c r="O728" s="2290"/>
      <c r="P728" s="2290"/>
      <c r="Q728" s="2289"/>
      <c r="R728" s="2289"/>
      <c r="S728" s="2289"/>
      <c r="T728" s="2291"/>
      <c r="U728" s="2289"/>
      <c r="V728" s="2289"/>
      <c r="W728" s="2289"/>
      <c r="X728" s="2292"/>
      <c r="Y728" s="2292"/>
      <c r="Z728" s="2289"/>
      <c r="AA728" s="2289"/>
      <c r="AB728" s="2289"/>
      <c r="AC728" s="2289"/>
      <c r="AD728" s="2293"/>
      <c r="AE728" s="2293"/>
      <c r="AF728" s="2293"/>
      <c r="AG728" s="2293"/>
      <c r="AH728" s="2289"/>
      <c r="AI728" s="2289"/>
      <c r="AJ728" s="2294"/>
      <c r="AK728" s="2294"/>
      <c r="AL728" s="2289"/>
      <c r="AM728" s="2289"/>
      <c r="AN728" s="2289"/>
      <c r="AO728" s="2289"/>
      <c r="AP728" s="2289"/>
      <c r="AQ728" s="2289"/>
      <c r="AR728" s="2294"/>
      <c r="AS728" s="2294"/>
      <c r="AT728" s="2295"/>
      <c r="AU728" s="2295"/>
      <c r="AV728" s="2295"/>
      <c r="AW728" s="2295"/>
      <c r="AX728" s="2296"/>
      <c r="AY728" s="2289"/>
      <c r="AZ728" s="2289"/>
      <c r="BA728" s="2289"/>
      <c r="BB728" s="2289"/>
      <c r="BC728" s="2289"/>
      <c r="BD728" s="2289"/>
      <c r="BE728" s="2289"/>
      <c r="BF728" s="2289"/>
      <c r="BG728" s="2289"/>
      <c r="BH728" s="2289"/>
      <c r="BI728" s="2289"/>
      <c r="BJ728" s="2289"/>
      <c r="BK728" s="2289"/>
      <c r="BL728" s="2289"/>
      <c r="BM728" s="2289"/>
      <c r="BN728" s="2289"/>
      <c r="BO728" s="2289"/>
      <c r="BP728" s="2289"/>
      <c r="BQ728" s="2289"/>
      <c r="BR728" s="2289"/>
    </row>
    <row r="729" spans="1:70" ht="15.75" customHeight="1">
      <c r="A729" s="2289"/>
      <c r="B729" s="2289"/>
      <c r="C729" s="2289"/>
      <c r="D729" s="2289"/>
      <c r="E729" s="2289"/>
      <c r="F729" s="2289"/>
      <c r="G729" s="2290"/>
      <c r="H729" s="2289"/>
      <c r="I729" s="2289"/>
      <c r="J729" s="2290"/>
      <c r="K729" s="2289"/>
      <c r="L729" s="2289"/>
      <c r="M729" s="2290"/>
      <c r="N729" s="2290"/>
      <c r="O729" s="2290"/>
      <c r="P729" s="2290"/>
      <c r="Q729" s="2289"/>
      <c r="R729" s="2289"/>
      <c r="S729" s="2289"/>
      <c r="T729" s="2291"/>
      <c r="U729" s="2289"/>
      <c r="V729" s="2289"/>
      <c r="W729" s="2289"/>
      <c r="X729" s="2292"/>
      <c r="Y729" s="2292"/>
      <c r="Z729" s="2289"/>
      <c r="AA729" s="2289"/>
      <c r="AB729" s="2289"/>
      <c r="AC729" s="2289"/>
      <c r="AD729" s="2293"/>
      <c r="AE729" s="2293"/>
      <c r="AF729" s="2293"/>
      <c r="AG729" s="2293"/>
      <c r="AH729" s="2289"/>
      <c r="AI729" s="2289"/>
      <c r="AJ729" s="2294"/>
      <c r="AK729" s="2294"/>
      <c r="AL729" s="2289"/>
      <c r="AM729" s="2289"/>
      <c r="AN729" s="2289"/>
      <c r="AO729" s="2289"/>
      <c r="AP729" s="2289"/>
      <c r="AQ729" s="2289"/>
      <c r="AR729" s="2294"/>
      <c r="AS729" s="2294"/>
      <c r="AT729" s="2295"/>
      <c r="AU729" s="2295"/>
      <c r="AV729" s="2295"/>
      <c r="AW729" s="2295"/>
      <c r="AX729" s="2296"/>
      <c r="AY729" s="2289"/>
      <c r="AZ729" s="2289"/>
      <c r="BA729" s="2289"/>
      <c r="BB729" s="2289"/>
      <c r="BC729" s="2289"/>
      <c r="BD729" s="2289"/>
      <c r="BE729" s="2289"/>
      <c r="BF729" s="2289"/>
      <c r="BG729" s="2289"/>
      <c r="BH729" s="2289"/>
      <c r="BI729" s="2289"/>
      <c r="BJ729" s="2289"/>
      <c r="BK729" s="2289"/>
      <c r="BL729" s="2289"/>
      <c r="BM729" s="2289"/>
      <c r="BN729" s="2289"/>
      <c r="BO729" s="2289"/>
      <c r="BP729" s="2289"/>
      <c r="BQ729" s="2289"/>
      <c r="BR729" s="2289"/>
    </row>
    <row r="730" spans="1:70" ht="15.75" customHeight="1">
      <c r="A730" s="2289"/>
      <c r="B730" s="2289"/>
      <c r="C730" s="2289"/>
      <c r="D730" s="2289"/>
      <c r="E730" s="2289"/>
      <c r="F730" s="2289"/>
      <c r="G730" s="2290"/>
      <c r="H730" s="2289"/>
      <c r="I730" s="2289"/>
      <c r="J730" s="2290"/>
      <c r="K730" s="2289"/>
      <c r="L730" s="2289"/>
      <c r="M730" s="2290"/>
      <c r="N730" s="2290"/>
      <c r="O730" s="2290"/>
      <c r="P730" s="2290"/>
      <c r="Q730" s="2289"/>
      <c r="R730" s="2289"/>
      <c r="S730" s="2289"/>
      <c r="T730" s="2291"/>
      <c r="U730" s="2289"/>
      <c r="V730" s="2289"/>
      <c r="W730" s="2289"/>
      <c r="X730" s="2292"/>
      <c r="Y730" s="2292"/>
      <c r="Z730" s="2289"/>
      <c r="AA730" s="2289"/>
      <c r="AB730" s="2289"/>
      <c r="AC730" s="2289"/>
      <c r="AD730" s="2293"/>
      <c r="AE730" s="2293"/>
      <c r="AF730" s="2293"/>
      <c r="AG730" s="2293"/>
      <c r="AH730" s="2289"/>
      <c r="AI730" s="2289"/>
      <c r="AJ730" s="2294"/>
      <c r="AK730" s="2294"/>
      <c r="AL730" s="2289"/>
      <c r="AM730" s="2289"/>
      <c r="AN730" s="2289"/>
      <c r="AO730" s="2289"/>
      <c r="AP730" s="2289"/>
      <c r="AQ730" s="2289"/>
      <c r="AR730" s="2294"/>
      <c r="AS730" s="2294"/>
      <c r="AT730" s="2295"/>
      <c r="AU730" s="2295"/>
      <c r="AV730" s="2295"/>
      <c r="AW730" s="2295"/>
      <c r="AX730" s="2296"/>
      <c r="AY730" s="2289"/>
      <c r="AZ730" s="2289"/>
      <c r="BA730" s="2289"/>
      <c r="BB730" s="2289"/>
      <c r="BC730" s="2289"/>
      <c r="BD730" s="2289"/>
      <c r="BE730" s="2289"/>
      <c r="BF730" s="2289"/>
      <c r="BG730" s="2289"/>
      <c r="BH730" s="2289"/>
      <c r="BI730" s="2289"/>
      <c r="BJ730" s="2289"/>
      <c r="BK730" s="2289"/>
      <c r="BL730" s="2289"/>
      <c r="BM730" s="2289"/>
      <c r="BN730" s="2289"/>
      <c r="BO730" s="2289"/>
      <c r="BP730" s="2289"/>
      <c r="BQ730" s="2289"/>
      <c r="BR730" s="2289"/>
    </row>
    <row r="731" spans="1:70" ht="15.75" customHeight="1">
      <c r="A731" s="2289"/>
      <c r="B731" s="2289"/>
      <c r="C731" s="2289"/>
      <c r="D731" s="2289"/>
      <c r="E731" s="2289"/>
      <c r="F731" s="2289"/>
      <c r="G731" s="2290"/>
      <c r="H731" s="2289"/>
      <c r="I731" s="2289"/>
      <c r="J731" s="2290"/>
      <c r="K731" s="2289"/>
      <c r="L731" s="2289"/>
      <c r="M731" s="2290"/>
      <c r="N731" s="2290"/>
      <c r="O731" s="2290"/>
      <c r="P731" s="2290"/>
      <c r="Q731" s="2289"/>
      <c r="R731" s="2289"/>
      <c r="S731" s="2289"/>
      <c r="T731" s="2291"/>
      <c r="U731" s="2289"/>
      <c r="V731" s="2289"/>
      <c r="W731" s="2289"/>
      <c r="X731" s="2292"/>
      <c r="Y731" s="2292"/>
      <c r="Z731" s="2289"/>
      <c r="AA731" s="2289"/>
      <c r="AB731" s="2289"/>
      <c r="AC731" s="2289"/>
      <c r="AD731" s="2293"/>
      <c r="AE731" s="2293"/>
      <c r="AF731" s="2293"/>
      <c r="AG731" s="2293"/>
      <c r="AH731" s="2289"/>
      <c r="AI731" s="2289"/>
      <c r="AJ731" s="2294"/>
      <c r="AK731" s="2294"/>
      <c r="AL731" s="2289"/>
      <c r="AM731" s="2289"/>
      <c r="AN731" s="2289"/>
      <c r="AO731" s="2289"/>
      <c r="AP731" s="2289"/>
      <c r="AQ731" s="2289"/>
      <c r="AR731" s="2294"/>
      <c r="AS731" s="2294"/>
      <c r="AT731" s="2295"/>
      <c r="AU731" s="2295"/>
      <c r="AV731" s="2295"/>
      <c r="AW731" s="2295"/>
      <c r="AX731" s="2296"/>
      <c r="AY731" s="2289"/>
      <c r="AZ731" s="2289"/>
      <c r="BA731" s="2289"/>
      <c r="BB731" s="2289"/>
      <c r="BC731" s="2289"/>
      <c r="BD731" s="2289"/>
      <c r="BE731" s="2289"/>
      <c r="BF731" s="2289"/>
      <c r="BG731" s="2289"/>
      <c r="BH731" s="2289"/>
      <c r="BI731" s="2289"/>
      <c r="BJ731" s="2289"/>
      <c r="BK731" s="2289"/>
      <c r="BL731" s="2289"/>
      <c r="BM731" s="2289"/>
      <c r="BN731" s="2289"/>
      <c r="BO731" s="2289"/>
      <c r="BP731" s="2289"/>
      <c r="BQ731" s="2289"/>
      <c r="BR731" s="2289"/>
    </row>
    <row r="732" spans="1:70" ht="15.75" customHeight="1">
      <c r="A732" s="2289"/>
      <c r="B732" s="2289"/>
      <c r="C732" s="2289"/>
      <c r="D732" s="2289"/>
      <c r="E732" s="2289"/>
      <c r="F732" s="2289"/>
      <c r="G732" s="2290"/>
      <c r="H732" s="2289"/>
      <c r="I732" s="2289"/>
      <c r="J732" s="2290"/>
      <c r="K732" s="2289"/>
      <c r="L732" s="2289"/>
      <c r="M732" s="2290"/>
      <c r="N732" s="2290"/>
      <c r="O732" s="2290"/>
      <c r="P732" s="2290"/>
      <c r="Q732" s="2289"/>
      <c r="R732" s="2289"/>
      <c r="S732" s="2289"/>
      <c r="T732" s="2291"/>
      <c r="U732" s="2289"/>
      <c r="V732" s="2289"/>
      <c r="W732" s="2289"/>
      <c r="X732" s="2292"/>
      <c r="Y732" s="2292"/>
      <c r="Z732" s="2289"/>
      <c r="AA732" s="2289"/>
      <c r="AB732" s="2289"/>
      <c r="AC732" s="2289"/>
      <c r="AD732" s="2293"/>
      <c r="AE732" s="2293"/>
      <c r="AF732" s="2293"/>
      <c r="AG732" s="2293"/>
      <c r="AH732" s="2289"/>
      <c r="AI732" s="2289"/>
      <c r="AJ732" s="2294"/>
      <c r="AK732" s="2294"/>
      <c r="AL732" s="2289"/>
      <c r="AM732" s="2289"/>
      <c r="AN732" s="2289"/>
      <c r="AO732" s="2289"/>
      <c r="AP732" s="2289"/>
      <c r="AQ732" s="2289"/>
      <c r="AR732" s="2294"/>
      <c r="AS732" s="2294"/>
      <c r="AT732" s="2295"/>
      <c r="AU732" s="2295"/>
      <c r="AV732" s="2295"/>
      <c r="AW732" s="2295"/>
      <c r="AX732" s="2296"/>
      <c r="AY732" s="2289"/>
      <c r="AZ732" s="2289"/>
      <c r="BA732" s="2289"/>
      <c r="BB732" s="2289"/>
      <c r="BC732" s="2289"/>
      <c r="BD732" s="2289"/>
      <c r="BE732" s="2289"/>
      <c r="BF732" s="2289"/>
      <c r="BG732" s="2289"/>
      <c r="BH732" s="2289"/>
      <c r="BI732" s="2289"/>
      <c r="BJ732" s="2289"/>
      <c r="BK732" s="2289"/>
      <c r="BL732" s="2289"/>
      <c r="BM732" s="2289"/>
      <c r="BN732" s="2289"/>
      <c r="BO732" s="2289"/>
      <c r="BP732" s="2289"/>
      <c r="BQ732" s="2289"/>
      <c r="BR732" s="2289"/>
    </row>
    <row r="733" spans="1:70" ht="15.75" customHeight="1">
      <c r="A733" s="2289"/>
      <c r="B733" s="2289"/>
      <c r="C733" s="2289"/>
      <c r="D733" s="2289"/>
      <c r="E733" s="2289"/>
      <c r="F733" s="2289"/>
      <c r="G733" s="2290"/>
      <c r="H733" s="2289"/>
      <c r="I733" s="2289"/>
      <c r="J733" s="2290"/>
      <c r="K733" s="2289"/>
      <c r="L733" s="2289"/>
      <c r="M733" s="2290"/>
      <c r="N733" s="2290"/>
      <c r="O733" s="2290"/>
      <c r="P733" s="2290"/>
      <c r="Q733" s="2289"/>
      <c r="R733" s="2289"/>
      <c r="S733" s="2289"/>
      <c r="T733" s="2291"/>
      <c r="U733" s="2289"/>
      <c r="V733" s="2289"/>
      <c r="W733" s="2289"/>
      <c r="X733" s="2292"/>
      <c r="Y733" s="2292"/>
      <c r="Z733" s="2289"/>
      <c r="AA733" s="2289"/>
      <c r="AB733" s="2289"/>
      <c r="AC733" s="2289"/>
      <c r="AD733" s="2293"/>
      <c r="AE733" s="2293"/>
      <c r="AF733" s="2293"/>
      <c r="AG733" s="2293"/>
      <c r="AH733" s="2289"/>
      <c r="AI733" s="2289"/>
      <c r="AJ733" s="2294"/>
      <c r="AK733" s="2294"/>
      <c r="AL733" s="2289"/>
      <c r="AM733" s="2289"/>
      <c r="AN733" s="2289"/>
      <c r="AO733" s="2289"/>
      <c r="AP733" s="2289"/>
      <c r="AQ733" s="2289"/>
      <c r="AR733" s="2294"/>
      <c r="AS733" s="2294"/>
      <c r="AT733" s="2295"/>
      <c r="AU733" s="2295"/>
      <c r="AV733" s="2295"/>
      <c r="AW733" s="2295"/>
      <c r="AX733" s="2296"/>
      <c r="AY733" s="2289"/>
      <c r="AZ733" s="2289"/>
      <c r="BA733" s="2289"/>
      <c r="BB733" s="2289"/>
      <c r="BC733" s="2289"/>
      <c r="BD733" s="2289"/>
      <c r="BE733" s="2289"/>
      <c r="BF733" s="2289"/>
      <c r="BG733" s="2289"/>
      <c r="BH733" s="2289"/>
      <c r="BI733" s="2289"/>
      <c r="BJ733" s="2289"/>
      <c r="BK733" s="2289"/>
      <c r="BL733" s="2289"/>
      <c r="BM733" s="2289"/>
      <c r="BN733" s="2289"/>
      <c r="BO733" s="2289"/>
      <c r="BP733" s="2289"/>
      <c r="BQ733" s="2289"/>
      <c r="BR733" s="2289"/>
    </row>
    <row r="734" spans="1:70" ht="15.75" customHeight="1">
      <c r="A734" s="2289"/>
      <c r="B734" s="2289"/>
      <c r="C734" s="2289"/>
      <c r="D734" s="2289"/>
      <c r="E734" s="2289"/>
      <c r="F734" s="2289"/>
      <c r="G734" s="2290"/>
      <c r="H734" s="2289"/>
      <c r="I734" s="2289"/>
      <c r="J734" s="2290"/>
      <c r="K734" s="2289"/>
      <c r="L734" s="2289"/>
      <c r="M734" s="2290"/>
      <c r="N734" s="2290"/>
      <c r="O734" s="2290"/>
      <c r="P734" s="2290"/>
      <c r="Q734" s="2289"/>
      <c r="R734" s="2289"/>
      <c r="S734" s="2289"/>
      <c r="T734" s="2291"/>
      <c r="U734" s="2289"/>
      <c r="V734" s="2289"/>
      <c r="W734" s="2289"/>
      <c r="X734" s="2292"/>
      <c r="Y734" s="2292"/>
      <c r="Z734" s="2289"/>
      <c r="AA734" s="2289"/>
      <c r="AB734" s="2289"/>
      <c r="AC734" s="2289"/>
      <c r="AD734" s="2293"/>
      <c r="AE734" s="2293"/>
      <c r="AF734" s="2293"/>
      <c r="AG734" s="2293"/>
      <c r="AH734" s="2289"/>
      <c r="AI734" s="2289"/>
      <c r="AJ734" s="2294"/>
      <c r="AK734" s="2294"/>
      <c r="AL734" s="2289"/>
      <c r="AM734" s="2289"/>
      <c r="AN734" s="2289"/>
      <c r="AO734" s="2289"/>
      <c r="AP734" s="2289"/>
      <c r="AQ734" s="2289"/>
      <c r="AR734" s="2294"/>
      <c r="AS734" s="2294"/>
      <c r="AT734" s="2295"/>
      <c r="AU734" s="2295"/>
      <c r="AV734" s="2295"/>
      <c r="AW734" s="2295"/>
      <c r="AX734" s="2296"/>
      <c r="AY734" s="2289"/>
      <c r="AZ734" s="2289"/>
      <c r="BA734" s="2289"/>
      <c r="BB734" s="2289"/>
      <c r="BC734" s="2289"/>
      <c r="BD734" s="2289"/>
      <c r="BE734" s="2289"/>
      <c r="BF734" s="2289"/>
      <c r="BG734" s="2289"/>
      <c r="BH734" s="2289"/>
      <c r="BI734" s="2289"/>
      <c r="BJ734" s="2289"/>
      <c r="BK734" s="2289"/>
      <c r="BL734" s="2289"/>
      <c r="BM734" s="2289"/>
      <c r="BN734" s="2289"/>
      <c r="BO734" s="2289"/>
      <c r="BP734" s="2289"/>
      <c r="BQ734" s="2289"/>
      <c r="BR734" s="2289"/>
    </row>
    <row r="735" spans="1:70" ht="15.75" customHeight="1">
      <c r="A735" s="2289"/>
      <c r="B735" s="2289"/>
      <c r="C735" s="2289"/>
      <c r="D735" s="2289"/>
      <c r="E735" s="2289"/>
      <c r="F735" s="2289"/>
      <c r="G735" s="2290"/>
      <c r="H735" s="2289"/>
      <c r="I735" s="2289"/>
      <c r="J735" s="2290"/>
      <c r="K735" s="2289"/>
      <c r="L735" s="2289"/>
      <c r="M735" s="2290"/>
      <c r="N735" s="2290"/>
      <c r="O735" s="2290"/>
      <c r="P735" s="2290"/>
      <c r="Q735" s="2289"/>
      <c r="R735" s="2289"/>
      <c r="S735" s="2289"/>
      <c r="T735" s="2291"/>
      <c r="U735" s="2289"/>
      <c r="V735" s="2289"/>
      <c r="W735" s="2289"/>
      <c r="X735" s="2292"/>
      <c r="Y735" s="2292"/>
      <c r="Z735" s="2289"/>
      <c r="AA735" s="2289"/>
      <c r="AB735" s="2289"/>
      <c r="AC735" s="2289"/>
      <c r="AD735" s="2293"/>
      <c r="AE735" s="2293"/>
      <c r="AF735" s="2293"/>
      <c r="AG735" s="2293"/>
      <c r="AH735" s="2289"/>
      <c r="AI735" s="2289"/>
      <c r="AJ735" s="2294"/>
      <c r="AK735" s="2294"/>
      <c r="AL735" s="2289"/>
      <c r="AM735" s="2289"/>
      <c r="AN735" s="2289"/>
      <c r="AO735" s="2289"/>
      <c r="AP735" s="2289"/>
      <c r="AQ735" s="2289"/>
      <c r="AR735" s="2294"/>
      <c r="AS735" s="2294"/>
      <c r="AT735" s="2295"/>
      <c r="AU735" s="2295"/>
      <c r="AV735" s="2295"/>
      <c r="AW735" s="2295"/>
      <c r="AX735" s="2296"/>
      <c r="AY735" s="2289"/>
      <c r="AZ735" s="2289"/>
      <c r="BA735" s="2289"/>
      <c r="BB735" s="2289"/>
      <c r="BC735" s="2289"/>
      <c r="BD735" s="2289"/>
      <c r="BE735" s="2289"/>
      <c r="BF735" s="2289"/>
      <c r="BG735" s="2289"/>
      <c r="BH735" s="2289"/>
      <c r="BI735" s="2289"/>
      <c r="BJ735" s="2289"/>
      <c r="BK735" s="2289"/>
      <c r="BL735" s="2289"/>
      <c r="BM735" s="2289"/>
      <c r="BN735" s="2289"/>
      <c r="BO735" s="2289"/>
      <c r="BP735" s="2289"/>
      <c r="BQ735" s="2289"/>
      <c r="BR735" s="2289"/>
    </row>
    <row r="736" spans="1:70" ht="15.75" customHeight="1">
      <c r="A736" s="2289"/>
      <c r="B736" s="2289"/>
      <c r="C736" s="2289"/>
      <c r="D736" s="2289"/>
      <c r="E736" s="2289"/>
      <c r="F736" s="2289"/>
      <c r="G736" s="2290"/>
      <c r="H736" s="2289"/>
      <c r="I736" s="2289"/>
      <c r="J736" s="2290"/>
      <c r="K736" s="2289"/>
      <c r="L736" s="2289"/>
      <c r="M736" s="2290"/>
      <c r="N736" s="2290"/>
      <c r="O736" s="2290"/>
      <c r="P736" s="2290"/>
      <c r="Q736" s="2289"/>
      <c r="R736" s="2289"/>
      <c r="S736" s="2289"/>
      <c r="T736" s="2291"/>
      <c r="U736" s="2289"/>
      <c r="V736" s="2289"/>
      <c r="W736" s="2289"/>
      <c r="X736" s="2292"/>
      <c r="Y736" s="2292"/>
      <c r="Z736" s="2289"/>
      <c r="AA736" s="2289"/>
      <c r="AB736" s="2289"/>
      <c r="AC736" s="2289"/>
      <c r="AD736" s="2293"/>
      <c r="AE736" s="2293"/>
      <c r="AF736" s="2293"/>
      <c r="AG736" s="2293"/>
      <c r="AH736" s="2289"/>
      <c r="AI736" s="2289"/>
      <c r="AJ736" s="2294"/>
      <c r="AK736" s="2294"/>
      <c r="AL736" s="2289"/>
      <c r="AM736" s="2289"/>
      <c r="AN736" s="2289"/>
      <c r="AO736" s="2289"/>
      <c r="AP736" s="2289"/>
      <c r="AQ736" s="2289"/>
      <c r="AR736" s="2294"/>
      <c r="AS736" s="2294"/>
      <c r="AT736" s="2295"/>
      <c r="AU736" s="2295"/>
      <c r="AV736" s="2295"/>
      <c r="AW736" s="2295"/>
      <c r="AX736" s="2296"/>
      <c r="AY736" s="2289"/>
      <c r="AZ736" s="2289"/>
      <c r="BA736" s="2289"/>
      <c r="BB736" s="2289"/>
      <c r="BC736" s="2289"/>
      <c r="BD736" s="2289"/>
      <c r="BE736" s="2289"/>
      <c r="BF736" s="2289"/>
      <c r="BG736" s="2289"/>
      <c r="BH736" s="2289"/>
      <c r="BI736" s="2289"/>
      <c r="BJ736" s="2289"/>
      <c r="BK736" s="2289"/>
      <c r="BL736" s="2289"/>
      <c r="BM736" s="2289"/>
      <c r="BN736" s="2289"/>
      <c r="BO736" s="2289"/>
      <c r="BP736" s="2289"/>
      <c r="BQ736" s="2289"/>
      <c r="BR736" s="2289"/>
    </row>
    <row r="737" spans="1:70" ht="15.75" customHeight="1">
      <c r="A737" s="2289"/>
      <c r="B737" s="2289"/>
      <c r="C737" s="2289"/>
      <c r="D737" s="2289"/>
      <c r="E737" s="2289"/>
      <c r="F737" s="2289"/>
      <c r="G737" s="2290"/>
      <c r="H737" s="2289"/>
      <c r="I737" s="2289"/>
      <c r="J737" s="2290"/>
      <c r="K737" s="2289"/>
      <c r="L737" s="2289"/>
      <c r="M737" s="2290"/>
      <c r="N737" s="2290"/>
      <c r="O737" s="2290"/>
      <c r="P737" s="2290"/>
      <c r="Q737" s="2289"/>
      <c r="R737" s="2289"/>
      <c r="S737" s="2289"/>
      <c r="T737" s="2291"/>
      <c r="U737" s="2289"/>
      <c r="V737" s="2289"/>
      <c r="W737" s="2289"/>
      <c r="X737" s="2292"/>
      <c r="Y737" s="2292"/>
      <c r="Z737" s="2289"/>
      <c r="AA737" s="2289"/>
      <c r="AB737" s="2289"/>
      <c r="AC737" s="2289"/>
      <c r="AD737" s="2293"/>
      <c r="AE737" s="2293"/>
      <c r="AF737" s="2293"/>
      <c r="AG737" s="2293"/>
      <c r="AH737" s="2289"/>
      <c r="AI737" s="2289"/>
      <c r="AJ737" s="2294"/>
      <c r="AK737" s="2294"/>
      <c r="AL737" s="2289"/>
      <c r="AM737" s="2289"/>
      <c r="AN737" s="2289"/>
      <c r="AO737" s="2289"/>
      <c r="AP737" s="2289"/>
      <c r="AQ737" s="2289"/>
      <c r="AR737" s="2294"/>
      <c r="AS737" s="2294"/>
      <c r="AT737" s="2295"/>
      <c r="AU737" s="2295"/>
      <c r="AV737" s="2295"/>
      <c r="AW737" s="2295"/>
      <c r="AX737" s="2296"/>
      <c r="AY737" s="2289"/>
      <c r="AZ737" s="2289"/>
      <c r="BA737" s="2289"/>
      <c r="BB737" s="2289"/>
      <c r="BC737" s="2289"/>
      <c r="BD737" s="2289"/>
      <c r="BE737" s="2289"/>
      <c r="BF737" s="2289"/>
      <c r="BG737" s="2289"/>
      <c r="BH737" s="2289"/>
      <c r="BI737" s="2289"/>
      <c r="BJ737" s="2289"/>
      <c r="BK737" s="2289"/>
      <c r="BL737" s="2289"/>
      <c r="BM737" s="2289"/>
      <c r="BN737" s="2289"/>
      <c r="BO737" s="2289"/>
      <c r="BP737" s="2289"/>
      <c r="BQ737" s="2289"/>
      <c r="BR737" s="2289"/>
    </row>
    <row r="738" spans="1:70" ht="15.75" customHeight="1">
      <c r="A738" s="2289"/>
      <c r="B738" s="2289"/>
      <c r="C738" s="2289"/>
      <c r="D738" s="2289"/>
      <c r="E738" s="2289"/>
      <c r="F738" s="2289"/>
      <c r="G738" s="2290"/>
      <c r="H738" s="2289"/>
      <c r="I738" s="2289"/>
      <c r="J738" s="2290"/>
      <c r="K738" s="2289"/>
      <c r="L738" s="2289"/>
      <c r="M738" s="2290"/>
      <c r="N738" s="2290"/>
      <c r="O738" s="2290"/>
      <c r="P738" s="2290"/>
      <c r="Q738" s="2289"/>
      <c r="R738" s="2289"/>
      <c r="S738" s="2289"/>
      <c r="T738" s="2291"/>
      <c r="U738" s="2289"/>
      <c r="V738" s="2289"/>
      <c r="W738" s="2289"/>
      <c r="X738" s="2292"/>
      <c r="Y738" s="2292"/>
      <c r="Z738" s="2289"/>
      <c r="AA738" s="2289"/>
      <c r="AB738" s="2289"/>
      <c r="AC738" s="2289"/>
      <c r="AD738" s="2293"/>
      <c r="AE738" s="2293"/>
      <c r="AF738" s="2293"/>
      <c r="AG738" s="2293"/>
      <c r="AH738" s="2289"/>
      <c r="AI738" s="2289"/>
      <c r="AJ738" s="2294"/>
      <c r="AK738" s="2294"/>
      <c r="AL738" s="2289"/>
      <c r="AM738" s="2289"/>
      <c r="AN738" s="2289"/>
      <c r="AO738" s="2289"/>
      <c r="AP738" s="2289"/>
      <c r="AQ738" s="2289"/>
      <c r="AR738" s="2294"/>
      <c r="AS738" s="2294"/>
      <c r="AT738" s="2295"/>
      <c r="AU738" s="2295"/>
      <c r="AV738" s="2295"/>
      <c r="AW738" s="2295"/>
      <c r="AX738" s="2296"/>
      <c r="AY738" s="2289"/>
      <c r="AZ738" s="2289"/>
      <c r="BA738" s="2289"/>
      <c r="BB738" s="2289"/>
      <c r="BC738" s="2289"/>
      <c r="BD738" s="2289"/>
      <c r="BE738" s="2289"/>
      <c r="BF738" s="2289"/>
      <c r="BG738" s="2289"/>
      <c r="BH738" s="2289"/>
      <c r="BI738" s="2289"/>
      <c r="BJ738" s="2289"/>
      <c r="BK738" s="2289"/>
      <c r="BL738" s="2289"/>
      <c r="BM738" s="2289"/>
      <c r="BN738" s="2289"/>
      <c r="BO738" s="2289"/>
      <c r="BP738" s="2289"/>
      <c r="BQ738" s="2289"/>
      <c r="BR738" s="2289"/>
    </row>
    <row r="739" spans="1:70" ht="15.75" customHeight="1">
      <c r="A739" s="2289"/>
      <c r="B739" s="2289"/>
      <c r="C739" s="2289"/>
      <c r="D739" s="2289"/>
      <c r="E739" s="2289"/>
      <c r="F739" s="2289"/>
      <c r="G739" s="2290"/>
      <c r="H739" s="2289"/>
      <c r="I739" s="2289"/>
      <c r="J739" s="2290"/>
      <c r="K739" s="2289"/>
      <c r="L739" s="2289"/>
      <c r="M739" s="2290"/>
      <c r="N739" s="2290"/>
      <c r="O739" s="2290"/>
      <c r="P739" s="2290"/>
      <c r="Q739" s="2289"/>
      <c r="R739" s="2289"/>
      <c r="S739" s="2289"/>
      <c r="T739" s="2291"/>
      <c r="U739" s="2289"/>
      <c r="V739" s="2289"/>
      <c r="W739" s="2289"/>
      <c r="X739" s="2292"/>
      <c r="Y739" s="2292"/>
      <c r="Z739" s="2289"/>
      <c r="AA739" s="2289"/>
      <c r="AB739" s="2289"/>
      <c r="AC739" s="2289"/>
      <c r="AD739" s="2293"/>
      <c r="AE739" s="2293"/>
      <c r="AF739" s="2293"/>
      <c r="AG739" s="2293"/>
      <c r="AH739" s="2289"/>
      <c r="AI739" s="2289"/>
      <c r="AJ739" s="2294"/>
      <c r="AK739" s="2294"/>
      <c r="AL739" s="2289"/>
      <c r="AM739" s="2289"/>
      <c r="AN739" s="2289"/>
      <c r="AO739" s="2289"/>
      <c r="AP739" s="2289"/>
      <c r="AQ739" s="2289"/>
      <c r="AR739" s="2294"/>
      <c r="AS739" s="2294"/>
      <c r="AT739" s="2295"/>
      <c r="AU739" s="2295"/>
      <c r="AV739" s="2295"/>
      <c r="AW739" s="2295"/>
      <c r="AX739" s="2296"/>
      <c r="AY739" s="2289"/>
      <c r="AZ739" s="2289"/>
      <c r="BA739" s="2289"/>
      <c r="BB739" s="2289"/>
      <c r="BC739" s="2289"/>
      <c r="BD739" s="2289"/>
      <c r="BE739" s="2289"/>
      <c r="BF739" s="2289"/>
      <c r="BG739" s="2289"/>
      <c r="BH739" s="2289"/>
      <c r="BI739" s="2289"/>
      <c r="BJ739" s="2289"/>
      <c r="BK739" s="2289"/>
      <c r="BL739" s="2289"/>
      <c r="BM739" s="2289"/>
      <c r="BN739" s="2289"/>
      <c r="BO739" s="2289"/>
      <c r="BP739" s="2289"/>
      <c r="BQ739" s="2289"/>
      <c r="BR739" s="2289"/>
    </row>
    <row r="740" spans="1:70" ht="15.75" customHeight="1">
      <c r="A740" s="2289"/>
      <c r="B740" s="2289"/>
      <c r="C740" s="2289"/>
      <c r="D740" s="2289"/>
      <c r="E740" s="2289"/>
      <c r="F740" s="2289"/>
      <c r="G740" s="2290"/>
      <c r="H740" s="2289"/>
      <c r="I740" s="2289"/>
      <c r="J740" s="2290"/>
      <c r="K740" s="2289"/>
      <c r="L740" s="2289"/>
      <c r="M740" s="2290"/>
      <c r="N740" s="2290"/>
      <c r="O740" s="2290"/>
      <c r="P740" s="2290"/>
      <c r="Q740" s="2289"/>
      <c r="R740" s="2289"/>
      <c r="S740" s="2289"/>
      <c r="T740" s="2291"/>
      <c r="U740" s="2289"/>
      <c r="V740" s="2289"/>
      <c r="W740" s="2289"/>
      <c r="X740" s="2292"/>
      <c r="Y740" s="2292"/>
      <c r="Z740" s="2289"/>
      <c r="AA740" s="2289"/>
      <c r="AB740" s="2289"/>
      <c r="AC740" s="2289"/>
      <c r="AD740" s="2293"/>
      <c r="AE740" s="2293"/>
      <c r="AF740" s="2293"/>
      <c r="AG740" s="2293"/>
      <c r="AH740" s="2289"/>
      <c r="AI740" s="2289"/>
      <c r="AJ740" s="2294"/>
      <c r="AK740" s="2294"/>
      <c r="AL740" s="2289"/>
      <c r="AM740" s="2289"/>
      <c r="AN740" s="2289"/>
      <c r="AO740" s="2289"/>
      <c r="AP740" s="2289"/>
      <c r="AQ740" s="2289"/>
      <c r="AR740" s="2294"/>
      <c r="AS740" s="2294"/>
      <c r="AT740" s="2295"/>
      <c r="AU740" s="2295"/>
      <c r="AV740" s="2295"/>
      <c r="AW740" s="2295"/>
      <c r="AX740" s="2296"/>
      <c r="AY740" s="2289"/>
      <c r="AZ740" s="2289"/>
      <c r="BA740" s="2289"/>
      <c r="BB740" s="2289"/>
      <c r="BC740" s="2289"/>
      <c r="BD740" s="2289"/>
      <c r="BE740" s="2289"/>
      <c r="BF740" s="2289"/>
      <c r="BG740" s="2289"/>
      <c r="BH740" s="2289"/>
      <c r="BI740" s="2289"/>
      <c r="BJ740" s="2289"/>
      <c r="BK740" s="2289"/>
      <c r="BL740" s="2289"/>
      <c r="BM740" s="2289"/>
      <c r="BN740" s="2289"/>
      <c r="BO740" s="2289"/>
      <c r="BP740" s="2289"/>
      <c r="BQ740" s="2289"/>
      <c r="BR740" s="2289"/>
    </row>
    <row r="741" spans="1:70" ht="15.75" customHeight="1">
      <c r="A741" s="2289"/>
      <c r="B741" s="2289"/>
      <c r="C741" s="2289"/>
      <c r="D741" s="2289"/>
      <c r="E741" s="2289"/>
      <c r="F741" s="2289"/>
      <c r="G741" s="2290"/>
      <c r="H741" s="2289"/>
      <c r="I741" s="2289"/>
      <c r="J741" s="2290"/>
      <c r="K741" s="2289"/>
      <c r="L741" s="2289"/>
      <c r="M741" s="2290"/>
      <c r="N741" s="2290"/>
      <c r="O741" s="2290"/>
      <c r="P741" s="2290"/>
      <c r="Q741" s="2289"/>
      <c r="R741" s="2289"/>
      <c r="S741" s="2289"/>
      <c r="T741" s="2291"/>
      <c r="U741" s="2289"/>
      <c r="V741" s="2289"/>
      <c r="W741" s="2289"/>
      <c r="X741" s="2292"/>
      <c r="Y741" s="2292"/>
      <c r="Z741" s="2289"/>
      <c r="AA741" s="2289"/>
      <c r="AB741" s="2289"/>
      <c r="AC741" s="2289"/>
      <c r="AD741" s="2293"/>
      <c r="AE741" s="2293"/>
      <c r="AF741" s="2293"/>
      <c r="AG741" s="2293"/>
      <c r="AH741" s="2289"/>
      <c r="AI741" s="2289"/>
      <c r="AJ741" s="2294"/>
      <c r="AK741" s="2294"/>
      <c r="AL741" s="2289"/>
      <c r="AM741" s="2289"/>
      <c r="AN741" s="2289"/>
      <c r="AO741" s="2289"/>
      <c r="AP741" s="2289"/>
      <c r="AQ741" s="2289"/>
      <c r="AR741" s="2294"/>
      <c r="AS741" s="2294"/>
      <c r="AT741" s="2295"/>
      <c r="AU741" s="2295"/>
      <c r="AV741" s="2295"/>
      <c r="AW741" s="2295"/>
      <c r="AX741" s="2296"/>
      <c r="AY741" s="2289"/>
      <c r="AZ741" s="2289"/>
      <c r="BA741" s="2289"/>
      <c r="BB741" s="2289"/>
      <c r="BC741" s="2289"/>
      <c r="BD741" s="2289"/>
      <c r="BE741" s="2289"/>
      <c r="BF741" s="2289"/>
      <c r="BG741" s="2289"/>
      <c r="BH741" s="2289"/>
      <c r="BI741" s="2289"/>
      <c r="BJ741" s="2289"/>
      <c r="BK741" s="2289"/>
      <c r="BL741" s="2289"/>
      <c r="BM741" s="2289"/>
      <c r="BN741" s="2289"/>
      <c r="BO741" s="2289"/>
      <c r="BP741" s="2289"/>
      <c r="BQ741" s="2289"/>
      <c r="BR741" s="2289"/>
    </row>
    <row r="742" spans="1:70" ht="15.75" customHeight="1">
      <c r="A742" s="2289"/>
      <c r="B742" s="2289"/>
      <c r="C742" s="2289"/>
      <c r="D742" s="2289"/>
      <c r="E742" s="2289"/>
      <c r="F742" s="2289"/>
      <c r="G742" s="2290"/>
      <c r="H742" s="2289"/>
      <c r="I742" s="2289"/>
      <c r="J742" s="2290"/>
      <c r="K742" s="2289"/>
      <c r="L742" s="2289"/>
      <c r="M742" s="2290"/>
      <c r="N742" s="2290"/>
      <c r="O742" s="2290"/>
      <c r="P742" s="2290"/>
      <c r="Q742" s="2289"/>
      <c r="R742" s="2289"/>
      <c r="S742" s="2289"/>
      <c r="T742" s="2291"/>
      <c r="U742" s="2289"/>
      <c r="V742" s="2289"/>
      <c r="W742" s="2289"/>
      <c r="X742" s="2292"/>
      <c r="Y742" s="2292"/>
      <c r="Z742" s="2289"/>
      <c r="AA742" s="2289"/>
      <c r="AB742" s="2289"/>
      <c r="AC742" s="2289"/>
      <c r="AD742" s="2293"/>
      <c r="AE742" s="2293"/>
      <c r="AF742" s="2293"/>
      <c r="AG742" s="2293"/>
      <c r="AH742" s="2289"/>
      <c r="AI742" s="2289"/>
      <c r="AJ742" s="2294"/>
      <c r="AK742" s="2294"/>
      <c r="AL742" s="2289"/>
      <c r="AM742" s="2289"/>
      <c r="AN742" s="2289"/>
      <c r="AO742" s="2289"/>
      <c r="AP742" s="2289"/>
      <c r="AQ742" s="2289"/>
      <c r="AR742" s="2294"/>
      <c r="AS742" s="2294"/>
      <c r="AT742" s="2295"/>
      <c r="AU742" s="2295"/>
      <c r="AV742" s="2295"/>
      <c r="AW742" s="2295"/>
      <c r="AX742" s="2296"/>
      <c r="AY742" s="2289"/>
      <c r="AZ742" s="2289"/>
      <c r="BA742" s="2289"/>
      <c r="BB742" s="2289"/>
      <c r="BC742" s="2289"/>
      <c r="BD742" s="2289"/>
      <c r="BE742" s="2289"/>
      <c r="BF742" s="2289"/>
      <c r="BG742" s="2289"/>
      <c r="BH742" s="2289"/>
      <c r="BI742" s="2289"/>
      <c r="BJ742" s="2289"/>
      <c r="BK742" s="2289"/>
      <c r="BL742" s="2289"/>
      <c r="BM742" s="2289"/>
      <c r="BN742" s="2289"/>
      <c r="BO742" s="2289"/>
      <c r="BP742" s="2289"/>
      <c r="BQ742" s="2289"/>
      <c r="BR742" s="2289"/>
    </row>
    <row r="743" spans="1:70" ht="15.75" customHeight="1">
      <c r="A743" s="2289"/>
      <c r="B743" s="2289"/>
      <c r="C743" s="2289"/>
      <c r="D743" s="2289"/>
      <c r="E743" s="2289"/>
      <c r="F743" s="2289"/>
      <c r="G743" s="2290"/>
      <c r="H743" s="2289"/>
      <c r="I743" s="2289"/>
      <c r="J743" s="2290"/>
      <c r="K743" s="2289"/>
      <c r="L743" s="2289"/>
      <c r="M743" s="2290"/>
      <c r="N743" s="2290"/>
      <c r="O743" s="2290"/>
      <c r="P743" s="2290"/>
      <c r="Q743" s="2289"/>
      <c r="R743" s="2289"/>
      <c r="S743" s="2289"/>
      <c r="T743" s="2291"/>
      <c r="U743" s="2289"/>
      <c r="V743" s="2289"/>
      <c r="W743" s="2289"/>
      <c r="X743" s="2292"/>
      <c r="Y743" s="2292"/>
      <c r="Z743" s="2289"/>
      <c r="AA743" s="2289"/>
      <c r="AB743" s="2289"/>
      <c r="AC743" s="2289"/>
      <c r="AD743" s="2293"/>
      <c r="AE743" s="2293"/>
      <c r="AF743" s="2293"/>
      <c r="AG743" s="2293"/>
      <c r="AH743" s="2289"/>
      <c r="AI743" s="2289"/>
      <c r="AJ743" s="2294"/>
      <c r="AK743" s="2294"/>
      <c r="AL743" s="2289"/>
      <c r="AM743" s="2289"/>
      <c r="AN743" s="2289"/>
      <c r="AO743" s="2289"/>
      <c r="AP743" s="2289"/>
      <c r="AQ743" s="2289"/>
      <c r="AR743" s="2294"/>
      <c r="AS743" s="2294"/>
      <c r="AT743" s="2295"/>
      <c r="AU743" s="2295"/>
      <c r="AV743" s="2295"/>
      <c r="AW743" s="2295"/>
      <c r="AX743" s="2296"/>
      <c r="AY743" s="2289"/>
      <c r="AZ743" s="2289"/>
      <c r="BA743" s="2289"/>
      <c r="BB743" s="2289"/>
      <c r="BC743" s="2289"/>
      <c r="BD743" s="2289"/>
      <c r="BE743" s="2289"/>
      <c r="BF743" s="2289"/>
      <c r="BG743" s="2289"/>
      <c r="BH743" s="2289"/>
      <c r="BI743" s="2289"/>
      <c r="BJ743" s="2289"/>
      <c r="BK743" s="2289"/>
      <c r="BL743" s="2289"/>
      <c r="BM743" s="2289"/>
      <c r="BN743" s="2289"/>
      <c r="BO743" s="2289"/>
      <c r="BP743" s="2289"/>
      <c r="BQ743" s="2289"/>
      <c r="BR743" s="2289"/>
    </row>
    <row r="744" spans="1:70" ht="15.75" customHeight="1">
      <c r="A744" s="2289"/>
      <c r="B744" s="2289"/>
      <c r="C744" s="2289"/>
      <c r="D744" s="2289"/>
      <c r="E744" s="2289"/>
      <c r="F744" s="2289"/>
      <c r="G744" s="2290"/>
      <c r="H744" s="2289"/>
      <c r="I744" s="2289"/>
      <c r="J744" s="2290"/>
      <c r="K744" s="2289"/>
      <c r="L744" s="2289"/>
      <c r="M744" s="2290"/>
      <c r="N744" s="2290"/>
      <c r="O744" s="2290"/>
      <c r="P744" s="2290"/>
      <c r="Q744" s="2289"/>
      <c r="R744" s="2289"/>
      <c r="S744" s="2289"/>
      <c r="T744" s="2291"/>
      <c r="U744" s="2289"/>
      <c r="V744" s="2289"/>
      <c r="W744" s="2289"/>
      <c r="X744" s="2292"/>
      <c r="Y744" s="2292"/>
      <c r="Z744" s="2289"/>
      <c r="AA744" s="2289"/>
      <c r="AB744" s="2289"/>
      <c r="AC744" s="2289"/>
      <c r="AD744" s="2293"/>
      <c r="AE744" s="2293"/>
      <c r="AF744" s="2293"/>
      <c r="AG744" s="2293"/>
      <c r="AH744" s="2289"/>
      <c r="AI744" s="2289"/>
      <c r="AJ744" s="2294"/>
      <c r="AK744" s="2294"/>
      <c r="AL744" s="2289"/>
      <c r="AM744" s="2289"/>
      <c r="AN744" s="2289"/>
      <c r="AO744" s="2289"/>
      <c r="AP744" s="2289"/>
      <c r="AQ744" s="2289"/>
      <c r="AR744" s="2294"/>
      <c r="AS744" s="2294"/>
      <c r="AT744" s="2295"/>
      <c r="AU744" s="2295"/>
      <c r="AV744" s="2295"/>
      <c r="AW744" s="2295"/>
      <c r="AX744" s="2296"/>
      <c r="AY744" s="2289"/>
      <c r="AZ744" s="2289"/>
      <c r="BA744" s="2289"/>
      <c r="BB744" s="2289"/>
      <c r="BC744" s="2289"/>
      <c r="BD744" s="2289"/>
      <c r="BE744" s="2289"/>
      <c r="BF744" s="2289"/>
      <c r="BG744" s="2289"/>
      <c r="BH744" s="2289"/>
      <c r="BI744" s="2289"/>
      <c r="BJ744" s="2289"/>
      <c r="BK744" s="2289"/>
      <c r="BL744" s="2289"/>
      <c r="BM744" s="2289"/>
      <c r="BN744" s="2289"/>
      <c r="BO744" s="2289"/>
      <c r="BP744" s="2289"/>
      <c r="BQ744" s="2289"/>
      <c r="BR744" s="2289"/>
    </row>
    <row r="745" spans="1:70" ht="15.75" customHeight="1">
      <c r="A745" s="2289"/>
      <c r="B745" s="2289"/>
      <c r="C745" s="2289"/>
      <c r="D745" s="2289"/>
      <c r="E745" s="2289"/>
      <c r="F745" s="2289"/>
      <c r="G745" s="2290"/>
      <c r="H745" s="2289"/>
      <c r="I745" s="2289"/>
      <c r="J745" s="2290"/>
      <c r="K745" s="2289"/>
      <c r="L745" s="2289"/>
      <c r="M745" s="2290"/>
      <c r="N745" s="2290"/>
      <c r="O745" s="2290"/>
      <c r="P745" s="2290"/>
      <c r="Q745" s="2289"/>
      <c r="R745" s="2289"/>
      <c r="S745" s="2289"/>
      <c r="T745" s="2291"/>
      <c r="U745" s="2289"/>
      <c r="V745" s="2289"/>
      <c r="W745" s="2289"/>
      <c r="X745" s="2292"/>
      <c r="Y745" s="2292"/>
      <c r="Z745" s="2289"/>
      <c r="AA745" s="2289"/>
      <c r="AB745" s="2289"/>
      <c r="AC745" s="2289"/>
      <c r="AD745" s="2293"/>
      <c r="AE745" s="2293"/>
      <c r="AF745" s="2293"/>
      <c r="AG745" s="2293"/>
      <c r="AH745" s="2289"/>
      <c r="AI745" s="2289"/>
      <c r="AJ745" s="2294"/>
      <c r="AK745" s="2294"/>
      <c r="AL745" s="2289"/>
      <c r="AM745" s="2289"/>
      <c r="AN745" s="2289"/>
      <c r="AO745" s="2289"/>
      <c r="AP745" s="2289"/>
      <c r="AQ745" s="2289"/>
      <c r="AR745" s="2294"/>
      <c r="AS745" s="2294"/>
      <c r="AT745" s="2295"/>
      <c r="AU745" s="2295"/>
      <c r="AV745" s="2295"/>
      <c r="AW745" s="2295"/>
      <c r="AX745" s="2296"/>
      <c r="AY745" s="2289"/>
      <c r="AZ745" s="2289"/>
      <c r="BA745" s="2289"/>
      <c r="BB745" s="2289"/>
      <c r="BC745" s="2289"/>
      <c r="BD745" s="2289"/>
      <c r="BE745" s="2289"/>
      <c r="BF745" s="2289"/>
      <c r="BG745" s="2289"/>
      <c r="BH745" s="2289"/>
      <c r="BI745" s="2289"/>
      <c r="BJ745" s="2289"/>
      <c r="BK745" s="2289"/>
      <c r="BL745" s="2289"/>
      <c r="BM745" s="2289"/>
      <c r="BN745" s="2289"/>
      <c r="BO745" s="2289"/>
      <c r="BP745" s="2289"/>
      <c r="BQ745" s="2289"/>
      <c r="BR745" s="2289"/>
    </row>
    <row r="746" spans="1:70" ht="15.75" customHeight="1">
      <c r="A746" s="2289"/>
      <c r="B746" s="2289"/>
      <c r="C746" s="2289"/>
      <c r="D746" s="2289"/>
      <c r="E746" s="2289"/>
      <c r="F746" s="2289"/>
      <c r="G746" s="2290"/>
      <c r="H746" s="2289"/>
      <c r="I746" s="2289"/>
      <c r="J746" s="2290"/>
      <c r="K746" s="2289"/>
      <c r="L746" s="2289"/>
      <c r="M746" s="2290"/>
      <c r="N746" s="2290"/>
      <c r="O746" s="2290"/>
      <c r="P746" s="2290"/>
      <c r="Q746" s="2289"/>
      <c r="R746" s="2289"/>
      <c r="S746" s="2289"/>
      <c r="T746" s="2291"/>
      <c r="U746" s="2289"/>
      <c r="V746" s="2289"/>
      <c r="W746" s="2289"/>
      <c r="X746" s="2292"/>
      <c r="Y746" s="2292"/>
      <c r="Z746" s="2289"/>
      <c r="AA746" s="2289"/>
      <c r="AB746" s="2289"/>
      <c r="AC746" s="2289"/>
      <c r="AD746" s="2293"/>
      <c r="AE746" s="2293"/>
      <c r="AF746" s="2293"/>
      <c r="AG746" s="2293"/>
      <c r="AH746" s="2289"/>
      <c r="AI746" s="2289"/>
      <c r="AJ746" s="2294"/>
      <c r="AK746" s="2294"/>
      <c r="AL746" s="2289"/>
      <c r="AM746" s="2289"/>
      <c r="AN746" s="2289"/>
      <c r="AO746" s="2289"/>
      <c r="AP746" s="2289"/>
      <c r="AQ746" s="2289"/>
      <c r="AR746" s="2294"/>
      <c r="AS746" s="2294"/>
      <c r="AT746" s="2295"/>
      <c r="AU746" s="2295"/>
      <c r="AV746" s="2295"/>
      <c r="AW746" s="2295"/>
      <c r="AX746" s="2296"/>
      <c r="AY746" s="2289"/>
      <c r="AZ746" s="2289"/>
      <c r="BA746" s="2289"/>
      <c r="BB746" s="2289"/>
      <c r="BC746" s="2289"/>
      <c r="BD746" s="2289"/>
      <c r="BE746" s="2289"/>
      <c r="BF746" s="2289"/>
      <c r="BG746" s="2289"/>
      <c r="BH746" s="2289"/>
      <c r="BI746" s="2289"/>
      <c r="BJ746" s="2289"/>
      <c r="BK746" s="2289"/>
      <c r="BL746" s="2289"/>
      <c r="BM746" s="2289"/>
      <c r="BN746" s="2289"/>
      <c r="BO746" s="2289"/>
      <c r="BP746" s="2289"/>
      <c r="BQ746" s="2289"/>
      <c r="BR746" s="2289"/>
    </row>
    <row r="747" spans="1:70" ht="15.75" customHeight="1">
      <c r="A747" s="2289"/>
      <c r="B747" s="2289"/>
      <c r="C747" s="2289"/>
      <c r="D747" s="2289"/>
      <c r="E747" s="2289"/>
      <c r="F747" s="2289"/>
      <c r="G747" s="2290"/>
      <c r="H747" s="2289"/>
      <c r="I747" s="2289"/>
      <c r="J747" s="2290"/>
      <c r="K747" s="2289"/>
      <c r="L747" s="2289"/>
      <c r="M747" s="2290"/>
      <c r="N747" s="2290"/>
      <c r="O747" s="2290"/>
      <c r="P747" s="2290"/>
      <c r="Q747" s="2289"/>
      <c r="R747" s="2289"/>
      <c r="S747" s="2289"/>
      <c r="T747" s="2291"/>
      <c r="U747" s="2289"/>
      <c r="V747" s="2289"/>
      <c r="W747" s="2289"/>
      <c r="X747" s="2292"/>
      <c r="Y747" s="2292"/>
      <c r="Z747" s="2289"/>
      <c r="AA747" s="2289"/>
      <c r="AB747" s="2289"/>
      <c r="AC747" s="2289"/>
      <c r="AD747" s="2293"/>
      <c r="AE747" s="2293"/>
      <c r="AF747" s="2293"/>
      <c r="AG747" s="2293"/>
      <c r="AH747" s="2289"/>
      <c r="AI747" s="2289"/>
      <c r="AJ747" s="2294"/>
      <c r="AK747" s="2294"/>
      <c r="AL747" s="2289"/>
      <c r="AM747" s="2289"/>
      <c r="AN747" s="2289"/>
      <c r="AO747" s="2289"/>
      <c r="AP747" s="2289"/>
      <c r="AQ747" s="2289"/>
      <c r="AR747" s="2294"/>
      <c r="AS747" s="2294"/>
      <c r="AT747" s="2295"/>
      <c r="AU747" s="2295"/>
      <c r="AV747" s="2295"/>
      <c r="AW747" s="2295"/>
      <c r="AX747" s="2296"/>
      <c r="AY747" s="2289"/>
      <c r="AZ747" s="2289"/>
      <c r="BA747" s="2289"/>
      <c r="BB747" s="2289"/>
      <c r="BC747" s="2289"/>
      <c r="BD747" s="2289"/>
      <c r="BE747" s="2289"/>
      <c r="BF747" s="2289"/>
      <c r="BG747" s="2289"/>
      <c r="BH747" s="2289"/>
      <c r="BI747" s="2289"/>
      <c r="BJ747" s="2289"/>
      <c r="BK747" s="2289"/>
      <c r="BL747" s="2289"/>
      <c r="BM747" s="2289"/>
      <c r="BN747" s="2289"/>
      <c r="BO747" s="2289"/>
      <c r="BP747" s="2289"/>
      <c r="BQ747" s="2289"/>
      <c r="BR747" s="2289"/>
    </row>
    <row r="748" spans="1:70" ht="15.75" customHeight="1">
      <c r="A748" s="2289"/>
      <c r="B748" s="2289"/>
      <c r="C748" s="2289"/>
      <c r="D748" s="2289"/>
      <c r="E748" s="2289"/>
      <c r="F748" s="2289"/>
      <c r="G748" s="2290"/>
      <c r="H748" s="2289"/>
      <c r="I748" s="2289"/>
      <c r="J748" s="2290"/>
      <c r="K748" s="2289"/>
      <c r="L748" s="2289"/>
      <c r="M748" s="2290"/>
      <c r="N748" s="2290"/>
      <c r="O748" s="2290"/>
      <c r="P748" s="2290"/>
      <c r="Q748" s="2289"/>
      <c r="R748" s="2289"/>
      <c r="S748" s="2289"/>
      <c r="T748" s="2291"/>
      <c r="U748" s="2289"/>
      <c r="V748" s="2289"/>
      <c r="W748" s="2289"/>
      <c r="X748" s="2292"/>
      <c r="Y748" s="2292"/>
      <c r="Z748" s="2289"/>
      <c r="AA748" s="2289"/>
      <c r="AB748" s="2289"/>
      <c r="AC748" s="2289"/>
      <c r="AD748" s="2293"/>
      <c r="AE748" s="2293"/>
      <c r="AF748" s="2293"/>
      <c r="AG748" s="2293"/>
      <c r="AH748" s="2289"/>
      <c r="AI748" s="2289"/>
      <c r="AJ748" s="2294"/>
      <c r="AK748" s="2294"/>
      <c r="AL748" s="2289"/>
      <c r="AM748" s="2289"/>
      <c r="AN748" s="2289"/>
      <c r="AO748" s="2289"/>
      <c r="AP748" s="2289"/>
      <c r="AQ748" s="2289"/>
      <c r="AR748" s="2294"/>
      <c r="AS748" s="2294"/>
      <c r="AT748" s="2295"/>
      <c r="AU748" s="2295"/>
      <c r="AV748" s="2295"/>
      <c r="AW748" s="2295"/>
      <c r="AX748" s="2296"/>
      <c r="AY748" s="2289"/>
      <c r="AZ748" s="2289"/>
      <c r="BA748" s="2289"/>
      <c r="BB748" s="2289"/>
      <c r="BC748" s="2289"/>
      <c r="BD748" s="2289"/>
      <c r="BE748" s="2289"/>
      <c r="BF748" s="2289"/>
      <c r="BG748" s="2289"/>
      <c r="BH748" s="2289"/>
      <c r="BI748" s="2289"/>
      <c r="BJ748" s="2289"/>
      <c r="BK748" s="2289"/>
      <c r="BL748" s="2289"/>
      <c r="BM748" s="2289"/>
      <c r="BN748" s="2289"/>
      <c r="BO748" s="2289"/>
      <c r="BP748" s="2289"/>
      <c r="BQ748" s="2289"/>
      <c r="BR748" s="2289"/>
    </row>
    <row r="749" spans="1:70" ht="15.75" customHeight="1">
      <c r="A749" s="2289"/>
      <c r="B749" s="2289"/>
      <c r="C749" s="2289"/>
      <c r="D749" s="2289"/>
      <c r="E749" s="2289"/>
      <c r="F749" s="2289"/>
      <c r="G749" s="2290"/>
      <c r="H749" s="2289"/>
      <c r="I749" s="2289"/>
      <c r="J749" s="2290"/>
      <c r="K749" s="2289"/>
      <c r="L749" s="2289"/>
      <c r="M749" s="2290"/>
      <c r="N749" s="2290"/>
      <c r="O749" s="2290"/>
      <c r="P749" s="2290"/>
      <c r="Q749" s="2289"/>
      <c r="R749" s="2289"/>
      <c r="S749" s="2289"/>
      <c r="T749" s="2291"/>
      <c r="U749" s="2289"/>
      <c r="V749" s="2289"/>
      <c r="W749" s="2289"/>
      <c r="X749" s="2292"/>
      <c r="Y749" s="2292"/>
      <c r="Z749" s="2289"/>
      <c r="AA749" s="2289"/>
      <c r="AB749" s="2289"/>
      <c r="AC749" s="2289"/>
      <c r="AD749" s="2293"/>
      <c r="AE749" s="2293"/>
      <c r="AF749" s="2293"/>
      <c r="AG749" s="2293"/>
      <c r="AH749" s="2289"/>
      <c r="AI749" s="2289"/>
      <c r="AJ749" s="2294"/>
      <c r="AK749" s="2294"/>
      <c r="AL749" s="2289"/>
      <c r="AM749" s="2289"/>
      <c r="AN749" s="2289"/>
      <c r="AO749" s="2289"/>
      <c r="AP749" s="2289"/>
      <c r="AQ749" s="2289"/>
      <c r="AR749" s="2294"/>
      <c r="AS749" s="2294"/>
      <c r="AT749" s="2295"/>
      <c r="AU749" s="2295"/>
      <c r="AV749" s="2295"/>
      <c r="AW749" s="2295"/>
      <c r="AX749" s="2296"/>
      <c r="AY749" s="2289"/>
      <c r="AZ749" s="2289"/>
      <c r="BA749" s="2289"/>
      <c r="BB749" s="2289"/>
      <c r="BC749" s="2289"/>
      <c r="BD749" s="2289"/>
      <c r="BE749" s="2289"/>
      <c r="BF749" s="2289"/>
      <c r="BG749" s="2289"/>
      <c r="BH749" s="2289"/>
      <c r="BI749" s="2289"/>
      <c r="BJ749" s="2289"/>
      <c r="BK749" s="2289"/>
      <c r="BL749" s="2289"/>
      <c r="BM749" s="2289"/>
      <c r="BN749" s="2289"/>
      <c r="BO749" s="2289"/>
      <c r="BP749" s="2289"/>
      <c r="BQ749" s="2289"/>
      <c r="BR749" s="2289"/>
    </row>
    <row r="750" spans="1:70" ht="15.75" customHeight="1">
      <c r="A750" s="2289"/>
      <c r="B750" s="2289"/>
      <c r="C750" s="2289"/>
      <c r="D750" s="2289"/>
      <c r="E750" s="2289"/>
      <c r="F750" s="2289"/>
      <c r="G750" s="2290"/>
      <c r="H750" s="2289"/>
      <c r="I750" s="2289"/>
      <c r="J750" s="2290"/>
      <c r="K750" s="2289"/>
      <c r="L750" s="2289"/>
      <c r="M750" s="2290"/>
      <c r="N750" s="2290"/>
      <c r="O750" s="2290"/>
      <c r="P750" s="2290"/>
      <c r="Q750" s="2289"/>
      <c r="R750" s="2289"/>
      <c r="S750" s="2289"/>
      <c r="T750" s="2291"/>
      <c r="U750" s="2289"/>
      <c r="V750" s="2289"/>
      <c r="W750" s="2289"/>
      <c r="X750" s="2292"/>
      <c r="Y750" s="2292"/>
      <c r="Z750" s="2289"/>
      <c r="AA750" s="2289"/>
      <c r="AB750" s="2289"/>
      <c r="AC750" s="2289"/>
      <c r="AD750" s="2293"/>
      <c r="AE750" s="2293"/>
      <c r="AF750" s="2293"/>
      <c r="AG750" s="2293"/>
      <c r="AH750" s="2289"/>
      <c r="AI750" s="2289"/>
      <c r="AJ750" s="2294"/>
      <c r="AK750" s="2294"/>
      <c r="AL750" s="2289"/>
      <c r="AM750" s="2289"/>
      <c r="AN750" s="2289"/>
      <c r="AO750" s="2289"/>
      <c r="AP750" s="2289"/>
      <c r="AQ750" s="2289"/>
      <c r="AR750" s="2294"/>
      <c r="AS750" s="2294"/>
      <c r="AT750" s="2295"/>
      <c r="AU750" s="2295"/>
      <c r="AV750" s="2295"/>
      <c r="AW750" s="2295"/>
      <c r="AX750" s="2296"/>
      <c r="AY750" s="2289"/>
      <c r="AZ750" s="2289"/>
      <c r="BA750" s="2289"/>
      <c r="BB750" s="2289"/>
      <c r="BC750" s="2289"/>
      <c r="BD750" s="2289"/>
      <c r="BE750" s="2289"/>
      <c r="BF750" s="2289"/>
      <c r="BG750" s="2289"/>
      <c r="BH750" s="2289"/>
      <c r="BI750" s="2289"/>
      <c r="BJ750" s="2289"/>
      <c r="BK750" s="2289"/>
      <c r="BL750" s="2289"/>
      <c r="BM750" s="2289"/>
      <c r="BN750" s="2289"/>
      <c r="BO750" s="2289"/>
      <c r="BP750" s="2289"/>
      <c r="BQ750" s="2289"/>
      <c r="BR750" s="2289"/>
    </row>
    <row r="751" spans="1:70" ht="15.75" customHeight="1">
      <c r="A751" s="2289"/>
      <c r="B751" s="2289"/>
      <c r="C751" s="2289"/>
      <c r="D751" s="2289"/>
      <c r="E751" s="2289"/>
      <c r="F751" s="2289"/>
      <c r="G751" s="2290"/>
      <c r="H751" s="2289"/>
      <c r="I751" s="2289"/>
      <c r="J751" s="2290"/>
      <c r="K751" s="2289"/>
      <c r="L751" s="2289"/>
      <c r="M751" s="2290"/>
      <c r="N751" s="2290"/>
      <c r="O751" s="2290"/>
      <c r="P751" s="2290"/>
      <c r="Q751" s="2289"/>
      <c r="R751" s="2289"/>
      <c r="S751" s="2289"/>
      <c r="T751" s="2291"/>
      <c r="U751" s="2289"/>
      <c r="V751" s="2289"/>
      <c r="W751" s="2289"/>
      <c r="X751" s="2292"/>
      <c r="Y751" s="2292"/>
      <c r="Z751" s="2289"/>
      <c r="AA751" s="2289"/>
      <c r="AB751" s="2289"/>
      <c r="AC751" s="2289"/>
      <c r="AD751" s="2293"/>
      <c r="AE751" s="2293"/>
      <c r="AF751" s="2293"/>
      <c r="AG751" s="2293"/>
      <c r="AH751" s="2289"/>
      <c r="AI751" s="2289"/>
      <c r="AJ751" s="2294"/>
      <c r="AK751" s="2294"/>
      <c r="AL751" s="2289"/>
      <c r="AM751" s="2289"/>
      <c r="AN751" s="2289"/>
      <c r="AO751" s="2289"/>
      <c r="AP751" s="2289"/>
      <c r="AQ751" s="2289"/>
      <c r="AR751" s="2294"/>
      <c r="AS751" s="2294"/>
      <c r="AT751" s="2295"/>
      <c r="AU751" s="2295"/>
      <c r="AV751" s="2295"/>
      <c r="AW751" s="2295"/>
      <c r="AX751" s="2296"/>
      <c r="AY751" s="2289"/>
      <c r="AZ751" s="2289"/>
      <c r="BA751" s="2289"/>
      <c r="BB751" s="2289"/>
      <c r="BC751" s="2289"/>
      <c r="BD751" s="2289"/>
      <c r="BE751" s="2289"/>
      <c r="BF751" s="2289"/>
      <c r="BG751" s="2289"/>
      <c r="BH751" s="2289"/>
      <c r="BI751" s="2289"/>
      <c r="BJ751" s="2289"/>
      <c r="BK751" s="2289"/>
      <c r="BL751" s="2289"/>
      <c r="BM751" s="2289"/>
      <c r="BN751" s="2289"/>
      <c r="BO751" s="2289"/>
      <c r="BP751" s="2289"/>
      <c r="BQ751" s="2289"/>
      <c r="BR751" s="2289"/>
    </row>
    <row r="752" spans="1:70" ht="15.75" customHeight="1">
      <c r="A752" s="2289"/>
      <c r="B752" s="2289"/>
      <c r="C752" s="2289"/>
      <c r="D752" s="2289"/>
      <c r="E752" s="2289"/>
      <c r="F752" s="2289"/>
      <c r="G752" s="2290"/>
      <c r="H752" s="2289"/>
      <c r="I752" s="2289"/>
      <c r="J752" s="2290"/>
      <c r="K752" s="2289"/>
      <c r="L752" s="2289"/>
      <c r="M752" s="2290"/>
      <c r="N752" s="2290"/>
      <c r="O752" s="2290"/>
      <c r="P752" s="2290"/>
      <c r="Q752" s="2289"/>
      <c r="R752" s="2289"/>
      <c r="S752" s="2289"/>
      <c r="T752" s="2291"/>
      <c r="U752" s="2289"/>
      <c r="V752" s="2289"/>
      <c r="W752" s="2289"/>
      <c r="X752" s="2292"/>
      <c r="Y752" s="2292"/>
      <c r="Z752" s="2289"/>
      <c r="AA752" s="2289"/>
      <c r="AB752" s="2289"/>
      <c r="AC752" s="2289"/>
      <c r="AD752" s="2293"/>
      <c r="AE752" s="2293"/>
      <c r="AF752" s="2293"/>
      <c r="AG752" s="2293"/>
      <c r="AH752" s="2289"/>
      <c r="AI752" s="2289"/>
      <c r="AJ752" s="2294"/>
      <c r="AK752" s="2294"/>
      <c r="AL752" s="2289"/>
      <c r="AM752" s="2289"/>
      <c r="AN752" s="2289"/>
      <c r="AO752" s="2289"/>
      <c r="AP752" s="2289"/>
      <c r="AQ752" s="2289"/>
      <c r="AR752" s="2294"/>
      <c r="AS752" s="2294"/>
      <c r="AT752" s="2295"/>
      <c r="AU752" s="2295"/>
      <c r="AV752" s="2295"/>
      <c r="AW752" s="2295"/>
      <c r="AX752" s="2296"/>
      <c r="AY752" s="2289"/>
      <c r="AZ752" s="2289"/>
      <c r="BA752" s="2289"/>
      <c r="BB752" s="2289"/>
      <c r="BC752" s="2289"/>
      <c r="BD752" s="2289"/>
      <c r="BE752" s="2289"/>
      <c r="BF752" s="2289"/>
      <c r="BG752" s="2289"/>
      <c r="BH752" s="2289"/>
      <c r="BI752" s="2289"/>
      <c r="BJ752" s="2289"/>
      <c r="BK752" s="2289"/>
      <c r="BL752" s="2289"/>
      <c r="BM752" s="2289"/>
      <c r="BN752" s="2289"/>
      <c r="BO752" s="2289"/>
      <c r="BP752" s="2289"/>
      <c r="BQ752" s="2289"/>
      <c r="BR752" s="2289"/>
    </row>
    <row r="753" spans="1:70" ht="15.75" customHeight="1">
      <c r="A753" s="2289"/>
      <c r="B753" s="2289"/>
      <c r="C753" s="2289"/>
      <c r="D753" s="2289"/>
      <c r="E753" s="2289"/>
      <c r="F753" s="2289"/>
      <c r="G753" s="2290"/>
      <c r="H753" s="2289"/>
      <c r="I753" s="2289"/>
      <c r="J753" s="2290"/>
      <c r="K753" s="2289"/>
      <c r="L753" s="2289"/>
      <c r="M753" s="2290"/>
      <c r="N753" s="2290"/>
      <c r="O753" s="2290"/>
      <c r="P753" s="2290"/>
      <c r="Q753" s="2289"/>
      <c r="R753" s="2289"/>
      <c r="S753" s="2289"/>
      <c r="T753" s="2291"/>
      <c r="U753" s="2289"/>
      <c r="V753" s="2289"/>
      <c r="W753" s="2289"/>
      <c r="X753" s="2292"/>
      <c r="Y753" s="2292"/>
      <c r="Z753" s="2289"/>
      <c r="AA753" s="2289"/>
      <c r="AB753" s="2289"/>
      <c r="AC753" s="2289"/>
      <c r="AD753" s="2293"/>
      <c r="AE753" s="2293"/>
      <c r="AF753" s="2293"/>
      <c r="AG753" s="2293"/>
      <c r="AH753" s="2289"/>
      <c r="AI753" s="2289"/>
      <c r="AJ753" s="2294"/>
      <c r="AK753" s="2294"/>
      <c r="AL753" s="2289"/>
      <c r="AM753" s="2289"/>
      <c r="AN753" s="2289"/>
      <c r="AO753" s="2289"/>
      <c r="AP753" s="2289"/>
      <c r="AQ753" s="2289"/>
      <c r="AR753" s="2294"/>
      <c r="AS753" s="2294"/>
      <c r="AT753" s="2295"/>
      <c r="AU753" s="2295"/>
      <c r="AV753" s="2295"/>
      <c r="AW753" s="2295"/>
      <c r="AX753" s="2296"/>
      <c r="AY753" s="2289"/>
      <c r="AZ753" s="2289"/>
      <c r="BA753" s="2289"/>
      <c r="BB753" s="2289"/>
      <c r="BC753" s="2289"/>
      <c r="BD753" s="2289"/>
      <c r="BE753" s="2289"/>
      <c r="BF753" s="2289"/>
      <c r="BG753" s="2289"/>
      <c r="BH753" s="2289"/>
      <c r="BI753" s="2289"/>
      <c r="BJ753" s="2289"/>
      <c r="BK753" s="2289"/>
      <c r="BL753" s="2289"/>
      <c r="BM753" s="2289"/>
      <c r="BN753" s="2289"/>
      <c r="BO753" s="2289"/>
      <c r="BP753" s="2289"/>
      <c r="BQ753" s="2289"/>
      <c r="BR753" s="2289"/>
    </row>
    <row r="754" spans="1:70" ht="15.75" customHeight="1">
      <c r="A754" s="2289"/>
      <c r="B754" s="2289"/>
      <c r="C754" s="2289"/>
      <c r="D754" s="2289"/>
      <c r="E754" s="2289"/>
      <c r="F754" s="2289"/>
      <c r="G754" s="2290"/>
      <c r="H754" s="2289"/>
      <c r="I754" s="2289"/>
      <c r="J754" s="2290"/>
      <c r="K754" s="2289"/>
      <c r="L754" s="2289"/>
      <c r="M754" s="2290"/>
      <c r="N754" s="2290"/>
      <c r="O754" s="2290"/>
      <c r="P754" s="2290"/>
      <c r="Q754" s="2289"/>
      <c r="R754" s="2289"/>
      <c r="S754" s="2289"/>
      <c r="T754" s="2291"/>
      <c r="U754" s="2289"/>
      <c r="V754" s="2289"/>
      <c r="W754" s="2289"/>
      <c r="X754" s="2292"/>
      <c r="Y754" s="2292"/>
      <c r="Z754" s="2289"/>
      <c r="AA754" s="2289"/>
      <c r="AB754" s="2289"/>
      <c r="AC754" s="2289"/>
      <c r="AD754" s="2293"/>
      <c r="AE754" s="2293"/>
      <c r="AF754" s="2293"/>
      <c r="AG754" s="2293"/>
      <c r="AH754" s="2289"/>
      <c r="AI754" s="2289"/>
      <c r="AJ754" s="2294"/>
      <c r="AK754" s="2294"/>
      <c r="AL754" s="2289"/>
      <c r="AM754" s="2289"/>
      <c r="AN754" s="2289"/>
      <c r="AO754" s="2289"/>
      <c r="AP754" s="2289"/>
      <c r="AQ754" s="2289"/>
      <c r="AR754" s="2294"/>
      <c r="AS754" s="2294"/>
      <c r="AT754" s="2295"/>
      <c r="AU754" s="2295"/>
      <c r="AV754" s="2295"/>
      <c r="AW754" s="2295"/>
      <c r="AX754" s="2296"/>
      <c r="AY754" s="2289"/>
      <c r="AZ754" s="2289"/>
      <c r="BA754" s="2289"/>
      <c r="BB754" s="2289"/>
      <c r="BC754" s="2289"/>
      <c r="BD754" s="2289"/>
      <c r="BE754" s="2289"/>
      <c r="BF754" s="2289"/>
      <c r="BG754" s="2289"/>
      <c r="BH754" s="2289"/>
      <c r="BI754" s="2289"/>
      <c r="BJ754" s="2289"/>
      <c r="BK754" s="2289"/>
      <c r="BL754" s="2289"/>
      <c r="BM754" s="2289"/>
      <c r="BN754" s="2289"/>
      <c r="BO754" s="2289"/>
      <c r="BP754" s="2289"/>
      <c r="BQ754" s="2289"/>
      <c r="BR754" s="2289"/>
    </row>
    <row r="755" spans="1:70" ht="15.75" customHeight="1">
      <c r="A755" s="2289"/>
      <c r="B755" s="2289"/>
      <c r="C755" s="2289"/>
      <c r="D755" s="2289"/>
      <c r="E755" s="2289"/>
      <c r="F755" s="2289"/>
      <c r="G755" s="2290"/>
      <c r="H755" s="2289"/>
      <c r="I755" s="2289"/>
      <c r="J755" s="2290"/>
      <c r="K755" s="2289"/>
      <c r="L755" s="2289"/>
      <c r="M755" s="2290"/>
      <c r="N755" s="2290"/>
      <c r="O755" s="2290"/>
      <c r="P755" s="2290"/>
      <c r="Q755" s="2289"/>
      <c r="R755" s="2289"/>
      <c r="S755" s="2289"/>
      <c r="T755" s="2291"/>
      <c r="U755" s="2289"/>
      <c r="V755" s="2289"/>
      <c r="W755" s="2289"/>
      <c r="X755" s="2292"/>
      <c r="Y755" s="2292"/>
      <c r="Z755" s="2289"/>
      <c r="AA755" s="2289"/>
      <c r="AB755" s="2289"/>
      <c r="AC755" s="2289"/>
      <c r="AD755" s="2293"/>
      <c r="AE755" s="2293"/>
      <c r="AF755" s="2293"/>
      <c r="AG755" s="2293"/>
      <c r="AH755" s="2289"/>
      <c r="AI755" s="2289"/>
      <c r="AJ755" s="2294"/>
      <c r="AK755" s="2294"/>
      <c r="AL755" s="2289"/>
      <c r="AM755" s="2289"/>
      <c r="AN755" s="2289"/>
      <c r="AO755" s="2289"/>
      <c r="AP755" s="2289"/>
      <c r="AQ755" s="2289"/>
      <c r="AR755" s="2294"/>
      <c r="AS755" s="2294"/>
      <c r="AT755" s="2295"/>
      <c r="AU755" s="2295"/>
      <c r="AV755" s="2295"/>
      <c r="AW755" s="2295"/>
      <c r="AX755" s="2296"/>
      <c r="AY755" s="2289"/>
      <c r="AZ755" s="2289"/>
      <c r="BA755" s="2289"/>
      <c r="BB755" s="2289"/>
      <c r="BC755" s="2289"/>
      <c r="BD755" s="2289"/>
      <c r="BE755" s="2289"/>
      <c r="BF755" s="2289"/>
      <c r="BG755" s="2289"/>
      <c r="BH755" s="2289"/>
      <c r="BI755" s="2289"/>
      <c r="BJ755" s="2289"/>
      <c r="BK755" s="2289"/>
      <c r="BL755" s="2289"/>
      <c r="BM755" s="2289"/>
      <c r="BN755" s="2289"/>
      <c r="BO755" s="2289"/>
      <c r="BP755" s="2289"/>
      <c r="BQ755" s="2289"/>
      <c r="BR755" s="2289"/>
    </row>
    <row r="756" spans="1:70" ht="15.75" customHeight="1">
      <c r="A756" s="2289"/>
      <c r="B756" s="2289"/>
      <c r="C756" s="2289"/>
      <c r="D756" s="2289"/>
      <c r="E756" s="2289"/>
      <c r="F756" s="2289"/>
      <c r="G756" s="2290"/>
      <c r="H756" s="2289"/>
      <c r="I756" s="2289"/>
      <c r="J756" s="2290"/>
      <c r="K756" s="2289"/>
      <c r="L756" s="2289"/>
      <c r="M756" s="2290"/>
      <c r="N756" s="2290"/>
      <c r="O756" s="2290"/>
      <c r="P756" s="2290"/>
      <c r="Q756" s="2289"/>
      <c r="R756" s="2289"/>
      <c r="S756" s="2289"/>
      <c r="T756" s="2291"/>
      <c r="U756" s="2289"/>
      <c r="V756" s="2289"/>
      <c r="W756" s="2289"/>
      <c r="X756" s="2292"/>
      <c r="Y756" s="2292"/>
      <c r="Z756" s="2289"/>
      <c r="AA756" s="2289"/>
      <c r="AB756" s="2289"/>
      <c r="AC756" s="2289"/>
      <c r="AD756" s="2293"/>
      <c r="AE756" s="2293"/>
      <c r="AF756" s="2293"/>
      <c r="AG756" s="2293"/>
      <c r="AH756" s="2289"/>
      <c r="AI756" s="2289"/>
      <c r="AJ756" s="2294"/>
      <c r="AK756" s="2294"/>
      <c r="AL756" s="2289"/>
      <c r="AM756" s="2289"/>
      <c r="AN756" s="2289"/>
      <c r="AO756" s="2289"/>
      <c r="AP756" s="2289"/>
      <c r="AQ756" s="2289"/>
      <c r="AR756" s="2294"/>
      <c r="AS756" s="2294"/>
      <c r="AT756" s="2295"/>
      <c r="AU756" s="2295"/>
      <c r="AV756" s="2295"/>
      <c r="AW756" s="2295"/>
      <c r="AX756" s="2296"/>
      <c r="AY756" s="2289"/>
      <c r="AZ756" s="2289"/>
      <c r="BA756" s="2289"/>
      <c r="BB756" s="2289"/>
      <c r="BC756" s="2289"/>
      <c r="BD756" s="2289"/>
      <c r="BE756" s="2289"/>
      <c r="BF756" s="2289"/>
      <c r="BG756" s="2289"/>
      <c r="BH756" s="2289"/>
      <c r="BI756" s="2289"/>
      <c r="BJ756" s="2289"/>
      <c r="BK756" s="2289"/>
      <c r="BL756" s="2289"/>
      <c r="BM756" s="2289"/>
      <c r="BN756" s="2289"/>
      <c r="BO756" s="2289"/>
      <c r="BP756" s="2289"/>
      <c r="BQ756" s="2289"/>
      <c r="BR756" s="2289"/>
    </row>
    <row r="757" spans="1:70" ht="15.75" customHeight="1">
      <c r="A757" s="2289"/>
      <c r="B757" s="2289"/>
      <c r="C757" s="2289"/>
      <c r="D757" s="2289"/>
      <c r="E757" s="2289"/>
      <c r="F757" s="2289"/>
      <c r="G757" s="2290"/>
      <c r="H757" s="2289"/>
      <c r="I757" s="2289"/>
      <c r="J757" s="2290"/>
      <c r="K757" s="2289"/>
      <c r="L757" s="2289"/>
      <c r="M757" s="2290"/>
      <c r="N757" s="2290"/>
      <c r="O757" s="2290"/>
      <c r="P757" s="2290"/>
      <c r="Q757" s="2289"/>
      <c r="R757" s="2289"/>
      <c r="S757" s="2289"/>
      <c r="T757" s="2291"/>
      <c r="U757" s="2289"/>
      <c r="V757" s="2289"/>
      <c r="W757" s="2289"/>
      <c r="X757" s="2292"/>
      <c r="Y757" s="2292"/>
      <c r="Z757" s="2289"/>
      <c r="AA757" s="2289"/>
      <c r="AB757" s="2289"/>
      <c r="AC757" s="2289"/>
      <c r="AD757" s="2293"/>
      <c r="AE757" s="2293"/>
      <c r="AF757" s="2293"/>
      <c r="AG757" s="2293"/>
      <c r="AH757" s="2289"/>
      <c r="AI757" s="2289"/>
      <c r="AJ757" s="2294"/>
      <c r="AK757" s="2294"/>
      <c r="AL757" s="2289"/>
      <c r="AM757" s="2289"/>
      <c r="AN757" s="2289"/>
      <c r="AO757" s="2289"/>
      <c r="AP757" s="2289"/>
      <c r="AQ757" s="2289"/>
      <c r="AR757" s="2294"/>
      <c r="AS757" s="2294"/>
      <c r="AT757" s="2295"/>
      <c r="AU757" s="2295"/>
      <c r="AV757" s="2295"/>
      <c r="AW757" s="2295"/>
      <c r="AX757" s="2296"/>
      <c r="AY757" s="2289"/>
      <c r="AZ757" s="2289"/>
      <c r="BA757" s="2289"/>
      <c r="BB757" s="2289"/>
      <c r="BC757" s="2289"/>
      <c r="BD757" s="2289"/>
      <c r="BE757" s="2289"/>
      <c r="BF757" s="2289"/>
      <c r="BG757" s="2289"/>
      <c r="BH757" s="2289"/>
      <c r="BI757" s="2289"/>
      <c r="BJ757" s="2289"/>
      <c r="BK757" s="2289"/>
      <c r="BL757" s="2289"/>
      <c r="BM757" s="2289"/>
      <c r="BN757" s="2289"/>
      <c r="BO757" s="2289"/>
      <c r="BP757" s="2289"/>
      <c r="BQ757" s="2289"/>
      <c r="BR757" s="2289"/>
    </row>
    <row r="758" spans="1:70" ht="15.75" customHeight="1">
      <c r="A758" s="2289"/>
      <c r="B758" s="2289"/>
      <c r="C758" s="2289"/>
      <c r="D758" s="2289"/>
      <c r="E758" s="2289"/>
      <c r="F758" s="2289"/>
      <c r="G758" s="2290"/>
      <c r="H758" s="2289"/>
      <c r="I758" s="2289"/>
      <c r="J758" s="2290"/>
      <c r="K758" s="2289"/>
      <c r="L758" s="2289"/>
      <c r="M758" s="2290"/>
      <c r="N758" s="2290"/>
      <c r="O758" s="2290"/>
      <c r="P758" s="2290"/>
      <c r="Q758" s="2289"/>
      <c r="R758" s="2289"/>
      <c r="S758" s="2289"/>
      <c r="T758" s="2291"/>
      <c r="U758" s="2289"/>
      <c r="V758" s="2289"/>
      <c r="W758" s="2289"/>
      <c r="X758" s="2292"/>
      <c r="Y758" s="2292"/>
      <c r="Z758" s="2289"/>
      <c r="AA758" s="2289"/>
      <c r="AB758" s="2289"/>
      <c r="AC758" s="2289"/>
      <c r="AD758" s="2293"/>
      <c r="AE758" s="2293"/>
      <c r="AF758" s="2293"/>
      <c r="AG758" s="2293"/>
      <c r="AH758" s="2289"/>
      <c r="AI758" s="2289"/>
      <c r="AJ758" s="2294"/>
      <c r="AK758" s="2294"/>
      <c r="AL758" s="2289"/>
      <c r="AM758" s="2289"/>
      <c r="AN758" s="2289"/>
      <c r="AO758" s="2289"/>
      <c r="AP758" s="2289"/>
      <c r="AQ758" s="2289"/>
      <c r="AR758" s="2294"/>
      <c r="AS758" s="2294"/>
      <c r="AT758" s="2295"/>
      <c r="AU758" s="2295"/>
      <c r="AV758" s="2295"/>
      <c r="AW758" s="2295"/>
      <c r="AX758" s="2296"/>
      <c r="AY758" s="2289"/>
      <c r="AZ758" s="2289"/>
      <c r="BA758" s="2289"/>
      <c r="BB758" s="2289"/>
      <c r="BC758" s="2289"/>
      <c r="BD758" s="2289"/>
      <c r="BE758" s="2289"/>
      <c r="BF758" s="2289"/>
      <c r="BG758" s="2289"/>
      <c r="BH758" s="2289"/>
      <c r="BI758" s="2289"/>
      <c r="BJ758" s="2289"/>
      <c r="BK758" s="2289"/>
      <c r="BL758" s="2289"/>
      <c r="BM758" s="2289"/>
      <c r="BN758" s="2289"/>
      <c r="BO758" s="2289"/>
      <c r="BP758" s="2289"/>
      <c r="BQ758" s="2289"/>
      <c r="BR758" s="2289"/>
    </row>
    <row r="759" spans="1:70" ht="15.75" customHeight="1">
      <c r="A759" s="2289"/>
      <c r="B759" s="2289"/>
      <c r="C759" s="2289"/>
      <c r="D759" s="2289"/>
      <c r="E759" s="2289"/>
      <c r="F759" s="2289"/>
      <c r="G759" s="2290"/>
      <c r="H759" s="2289"/>
      <c r="I759" s="2289"/>
      <c r="J759" s="2290"/>
      <c r="K759" s="2289"/>
      <c r="L759" s="2289"/>
      <c r="M759" s="2290"/>
      <c r="N759" s="2290"/>
      <c r="O759" s="2290"/>
      <c r="P759" s="2290"/>
      <c r="Q759" s="2289"/>
      <c r="R759" s="2289"/>
      <c r="S759" s="2289"/>
      <c r="T759" s="2291"/>
      <c r="U759" s="2289"/>
      <c r="V759" s="2289"/>
      <c r="W759" s="2289"/>
      <c r="X759" s="2292"/>
      <c r="Y759" s="2292"/>
      <c r="Z759" s="2289"/>
      <c r="AA759" s="2289"/>
      <c r="AB759" s="2289"/>
      <c r="AC759" s="2289"/>
      <c r="AD759" s="2293"/>
      <c r="AE759" s="2293"/>
      <c r="AF759" s="2293"/>
      <c r="AG759" s="2293"/>
      <c r="AH759" s="2289"/>
      <c r="AI759" s="2289"/>
      <c r="AJ759" s="2294"/>
      <c r="AK759" s="2294"/>
      <c r="AL759" s="2289"/>
      <c r="AM759" s="2289"/>
      <c r="AN759" s="2289"/>
      <c r="AO759" s="2289"/>
      <c r="AP759" s="2289"/>
      <c r="AQ759" s="2289"/>
      <c r="AR759" s="2294"/>
      <c r="AS759" s="2294"/>
      <c r="AT759" s="2295"/>
      <c r="AU759" s="2295"/>
      <c r="AV759" s="2295"/>
      <c r="AW759" s="2295"/>
      <c r="AX759" s="2296"/>
      <c r="AY759" s="2289"/>
      <c r="AZ759" s="2289"/>
      <c r="BA759" s="2289"/>
      <c r="BB759" s="2289"/>
      <c r="BC759" s="2289"/>
      <c r="BD759" s="2289"/>
      <c r="BE759" s="2289"/>
      <c r="BF759" s="2289"/>
      <c r="BG759" s="2289"/>
      <c r="BH759" s="2289"/>
      <c r="BI759" s="2289"/>
      <c r="BJ759" s="2289"/>
      <c r="BK759" s="2289"/>
      <c r="BL759" s="2289"/>
      <c r="BM759" s="2289"/>
      <c r="BN759" s="2289"/>
      <c r="BO759" s="2289"/>
      <c r="BP759" s="2289"/>
      <c r="BQ759" s="2289"/>
      <c r="BR759" s="2289"/>
    </row>
    <row r="760" spans="1:70" ht="15.75" customHeight="1">
      <c r="A760" s="2289"/>
      <c r="B760" s="2289"/>
      <c r="C760" s="2289"/>
      <c r="D760" s="2289"/>
      <c r="E760" s="2289"/>
      <c r="F760" s="2289"/>
      <c r="G760" s="2290"/>
      <c r="H760" s="2289"/>
      <c r="I760" s="2289"/>
      <c r="J760" s="2290"/>
      <c r="K760" s="2289"/>
      <c r="L760" s="2289"/>
      <c r="M760" s="2290"/>
      <c r="N760" s="2290"/>
      <c r="O760" s="2290"/>
      <c r="P760" s="2290"/>
      <c r="Q760" s="2289"/>
      <c r="R760" s="2289"/>
      <c r="S760" s="2289"/>
      <c r="T760" s="2291"/>
      <c r="U760" s="2289"/>
      <c r="V760" s="2289"/>
      <c r="W760" s="2289"/>
      <c r="X760" s="2292"/>
      <c r="Y760" s="2292"/>
      <c r="Z760" s="2289"/>
      <c r="AA760" s="2289"/>
      <c r="AB760" s="2289"/>
      <c r="AC760" s="2289"/>
      <c r="AD760" s="2293"/>
      <c r="AE760" s="2293"/>
      <c r="AF760" s="2293"/>
      <c r="AG760" s="2293"/>
      <c r="AH760" s="2289"/>
      <c r="AI760" s="2289"/>
      <c r="AJ760" s="2294"/>
      <c r="AK760" s="2294"/>
      <c r="AL760" s="2289"/>
      <c r="AM760" s="2289"/>
      <c r="AN760" s="2289"/>
      <c r="AO760" s="2289"/>
      <c r="AP760" s="2289"/>
      <c r="AQ760" s="2289"/>
      <c r="AR760" s="2294"/>
      <c r="AS760" s="2294"/>
      <c r="AT760" s="2295"/>
      <c r="AU760" s="2295"/>
      <c r="AV760" s="2295"/>
      <c r="AW760" s="2295"/>
      <c r="AX760" s="2296"/>
      <c r="AY760" s="2289"/>
      <c r="AZ760" s="2289"/>
      <c r="BA760" s="2289"/>
      <c r="BB760" s="2289"/>
      <c r="BC760" s="2289"/>
      <c r="BD760" s="2289"/>
      <c r="BE760" s="2289"/>
      <c r="BF760" s="2289"/>
      <c r="BG760" s="2289"/>
      <c r="BH760" s="2289"/>
      <c r="BI760" s="2289"/>
      <c r="BJ760" s="2289"/>
      <c r="BK760" s="2289"/>
      <c r="BL760" s="2289"/>
      <c r="BM760" s="2289"/>
      <c r="BN760" s="2289"/>
      <c r="BO760" s="2289"/>
      <c r="BP760" s="2289"/>
      <c r="BQ760" s="2289"/>
      <c r="BR760" s="2289"/>
    </row>
    <row r="761" spans="1:70" ht="15.75" customHeight="1">
      <c r="A761" s="2289"/>
      <c r="B761" s="2289"/>
      <c r="C761" s="2289"/>
      <c r="D761" s="2289"/>
      <c r="E761" s="2289"/>
      <c r="F761" s="2289"/>
      <c r="G761" s="2290"/>
      <c r="H761" s="2289"/>
      <c r="I761" s="2289"/>
      <c r="J761" s="2290"/>
      <c r="K761" s="2289"/>
      <c r="L761" s="2289"/>
      <c r="M761" s="2290"/>
      <c r="N761" s="2290"/>
      <c r="O761" s="2290"/>
      <c r="P761" s="2290"/>
      <c r="Q761" s="2289"/>
      <c r="R761" s="2289"/>
      <c r="S761" s="2289"/>
      <c r="T761" s="2291"/>
      <c r="U761" s="2289"/>
      <c r="V761" s="2289"/>
      <c r="W761" s="2289"/>
      <c r="X761" s="2292"/>
      <c r="Y761" s="2292"/>
      <c r="Z761" s="2289"/>
      <c r="AA761" s="2289"/>
      <c r="AB761" s="2289"/>
      <c r="AC761" s="2289"/>
      <c r="AD761" s="2293"/>
      <c r="AE761" s="2293"/>
      <c r="AF761" s="2293"/>
      <c r="AG761" s="2293"/>
      <c r="AH761" s="2289"/>
      <c r="AI761" s="2289"/>
      <c r="AJ761" s="2294"/>
      <c r="AK761" s="2294"/>
      <c r="AL761" s="2289"/>
      <c r="AM761" s="2289"/>
      <c r="AN761" s="2289"/>
      <c r="AO761" s="2289"/>
      <c r="AP761" s="2289"/>
      <c r="AQ761" s="2289"/>
      <c r="AR761" s="2294"/>
      <c r="AS761" s="2294"/>
      <c r="AT761" s="2295"/>
      <c r="AU761" s="2295"/>
      <c r="AV761" s="2295"/>
      <c r="AW761" s="2295"/>
      <c r="AX761" s="2296"/>
      <c r="AY761" s="2289"/>
      <c r="AZ761" s="2289"/>
      <c r="BA761" s="2289"/>
      <c r="BB761" s="2289"/>
      <c r="BC761" s="2289"/>
      <c r="BD761" s="2289"/>
      <c r="BE761" s="2289"/>
      <c r="BF761" s="2289"/>
      <c r="BG761" s="2289"/>
      <c r="BH761" s="2289"/>
      <c r="BI761" s="2289"/>
      <c r="BJ761" s="2289"/>
      <c r="BK761" s="2289"/>
      <c r="BL761" s="2289"/>
      <c r="BM761" s="2289"/>
      <c r="BN761" s="2289"/>
      <c r="BO761" s="2289"/>
      <c r="BP761" s="2289"/>
      <c r="BQ761" s="2289"/>
      <c r="BR761" s="2289"/>
    </row>
    <row r="762" spans="1:70" ht="15.75" customHeight="1">
      <c r="A762" s="2289"/>
      <c r="B762" s="2289"/>
      <c r="C762" s="2289"/>
      <c r="D762" s="2289"/>
      <c r="E762" s="2289"/>
      <c r="F762" s="2289"/>
      <c r="G762" s="2290"/>
      <c r="H762" s="2289"/>
      <c r="I762" s="2289"/>
      <c r="J762" s="2290"/>
      <c r="K762" s="2289"/>
      <c r="L762" s="2289"/>
      <c r="M762" s="2290"/>
      <c r="N762" s="2290"/>
      <c r="O762" s="2290"/>
      <c r="P762" s="2290"/>
      <c r="Q762" s="2289"/>
      <c r="R762" s="2289"/>
      <c r="S762" s="2289"/>
      <c r="T762" s="2291"/>
      <c r="U762" s="2289"/>
      <c r="V762" s="2289"/>
      <c r="W762" s="2289"/>
      <c r="X762" s="2292"/>
      <c r="Y762" s="2292"/>
      <c r="Z762" s="2289"/>
      <c r="AA762" s="2289"/>
      <c r="AB762" s="2289"/>
      <c r="AC762" s="2289"/>
      <c r="AD762" s="2293"/>
      <c r="AE762" s="2293"/>
      <c r="AF762" s="2293"/>
      <c r="AG762" s="2293"/>
      <c r="AH762" s="2289"/>
      <c r="AI762" s="2289"/>
      <c r="AJ762" s="2294"/>
      <c r="AK762" s="2294"/>
      <c r="AL762" s="2289"/>
      <c r="AM762" s="2289"/>
      <c r="AN762" s="2289"/>
      <c r="AO762" s="2289"/>
      <c r="AP762" s="2289"/>
      <c r="AQ762" s="2289"/>
      <c r="AR762" s="2294"/>
      <c r="AS762" s="2294"/>
      <c r="AT762" s="2295"/>
      <c r="AU762" s="2295"/>
      <c r="AV762" s="2295"/>
      <c r="AW762" s="2295"/>
      <c r="AX762" s="2296"/>
      <c r="AY762" s="2289"/>
      <c r="AZ762" s="2289"/>
      <c r="BA762" s="2289"/>
      <c r="BB762" s="2289"/>
      <c r="BC762" s="2289"/>
      <c r="BD762" s="2289"/>
      <c r="BE762" s="2289"/>
      <c r="BF762" s="2289"/>
      <c r="BG762" s="2289"/>
      <c r="BH762" s="2289"/>
      <c r="BI762" s="2289"/>
      <c r="BJ762" s="2289"/>
      <c r="BK762" s="2289"/>
      <c r="BL762" s="2289"/>
      <c r="BM762" s="2289"/>
      <c r="BN762" s="2289"/>
      <c r="BO762" s="2289"/>
      <c r="BP762" s="2289"/>
      <c r="BQ762" s="2289"/>
      <c r="BR762" s="2289"/>
    </row>
    <row r="763" spans="1:70" ht="15.75" customHeight="1">
      <c r="A763" s="2289"/>
      <c r="B763" s="2289"/>
      <c r="C763" s="2289"/>
      <c r="D763" s="2289"/>
      <c r="E763" s="2289"/>
      <c r="F763" s="2289"/>
      <c r="G763" s="2290"/>
      <c r="H763" s="2289"/>
      <c r="I763" s="2289"/>
      <c r="J763" s="2290"/>
      <c r="K763" s="2289"/>
      <c r="L763" s="2289"/>
      <c r="M763" s="2290"/>
      <c r="N763" s="2290"/>
      <c r="O763" s="2290"/>
      <c r="P763" s="2290"/>
      <c r="Q763" s="2289"/>
      <c r="R763" s="2289"/>
      <c r="S763" s="2289"/>
      <c r="T763" s="2291"/>
      <c r="U763" s="2289"/>
      <c r="V763" s="2289"/>
      <c r="W763" s="2289"/>
      <c r="X763" s="2292"/>
      <c r="Y763" s="2292"/>
      <c r="Z763" s="2289"/>
      <c r="AA763" s="2289"/>
      <c r="AB763" s="2289"/>
      <c r="AC763" s="2289"/>
      <c r="AD763" s="2293"/>
      <c r="AE763" s="2293"/>
      <c r="AF763" s="2293"/>
      <c r="AG763" s="2293"/>
      <c r="AH763" s="2289"/>
      <c r="AI763" s="2289"/>
      <c r="AJ763" s="2294"/>
      <c r="AK763" s="2294"/>
      <c r="AL763" s="2289"/>
      <c r="AM763" s="2289"/>
      <c r="AN763" s="2289"/>
      <c r="AO763" s="2289"/>
      <c r="AP763" s="2289"/>
      <c r="AQ763" s="2289"/>
      <c r="AR763" s="2294"/>
      <c r="AS763" s="2294"/>
      <c r="AT763" s="2295"/>
      <c r="AU763" s="2295"/>
      <c r="AV763" s="2295"/>
      <c r="AW763" s="2295"/>
      <c r="AX763" s="2296"/>
      <c r="AY763" s="2289"/>
      <c r="AZ763" s="2289"/>
      <c r="BA763" s="2289"/>
      <c r="BB763" s="2289"/>
      <c r="BC763" s="2289"/>
      <c r="BD763" s="2289"/>
      <c r="BE763" s="2289"/>
      <c r="BF763" s="2289"/>
      <c r="BG763" s="2289"/>
      <c r="BH763" s="2289"/>
      <c r="BI763" s="2289"/>
      <c r="BJ763" s="2289"/>
      <c r="BK763" s="2289"/>
      <c r="BL763" s="2289"/>
      <c r="BM763" s="2289"/>
      <c r="BN763" s="2289"/>
      <c r="BO763" s="2289"/>
      <c r="BP763" s="2289"/>
      <c r="BQ763" s="2289"/>
      <c r="BR763" s="2289"/>
    </row>
    <row r="764" spans="1:70" ht="15.75" customHeight="1">
      <c r="A764" s="2289"/>
      <c r="B764" s="2289"/>
      <c r="C764" s="2289"/>
      <c r="D764" s="2289"/>
      <c r="E764" s="2289"/>
      <c r="F764" s="2289"/>
      <c r="G764" s="2290"/>
      <c r="H764" s="2289"/>
      <c r="I764" s="2289"/>
      <c r="J764" s="2290"/>
      <c r="K764" s="2289"/>
      <c r="L764" s="2289"/>
      <c r="M764" s="2290"/>
      <c r="N764" s="2290"/>
      <c r="O764" s="2290"/>
      <c r="P764" s="2290"/>
      <c r="Q764" s="2289"/>
      <c r="R764" s="2289"/>
      <c r="S764" s="2289"/>
      <c r="T764" s="2291"/>
      <c r="U764" s="2289"/>
      <c r="V764" s="2289"/>
      <c r="W764" s="2289"/>
      <c r="X764" s="2292"/>
      <c r="Y764" s="2292"/>
      <c r="Z764" s="2289"/>
      <c r="AA764" s="2289"/>
      <c r="AB764" s="2289"/>
      <c r="AC764" s="2289"/>
      <c r="AD764" s="2293"/>
      <c r="AE764" s="2293"/>
      <c r="AF764" s="2293"/>
      <c r="AG764" s="2293"/>
      <c r="AH764" s="2289"/>
      <c r="AI764" s="2289"/>
      <c r="AJ764" s="2294"/>
      <c r="AK764" s="2294"/>
      <c r="AL764" s="2289"/>
      <c r="AM764" s="2289"/>
      <c r="AN764" s="2289"/>
      <c r="AO764" s="2289"/>
      <c r="AP764" s="2289"/>
      <c r="AQ764" s="2289"/>
      <c r="AR764" s="2294"/>
      <c r="AS764" s="2294"/>
      <c r="AT764" s="2295"/>
      <c r="AU764" s="2295"/>
      <c r="AV764" s="2295"/>
      <c r="AW764" s="2295"/>
      <c r="AX764" s="2296"/>
      <c r="AY764" s="2289"/>
      <c r="AZ764" s="2289"/>
      <c r="BA764" s="2289"/>
      <c r="BB764" s="2289"/>
      <c r="BC764" s="2289"/>
      <c r="BD764" s="2289"/>
      <c r="BE764" s="2289"/>
      <c r="BF764" s="2289"/>
      <c r="BG764" s="2289"/>
      <c r="BH764" s="2289"/>
      <c r="BI764" s="2289"/>
      <c r="BJ764" s="2289"/>
      <c r="BK764" s="2289"/>
      <c r="BL764" s="2289"/>
      <c r="BM764" s="2289"/>
      <c r="BN764" s="2289"/>
      <c r="BO764" s="2289"/>
      <c r="BP764" s="2289"/>
      <c r="BQ764" s="2289"/>
      <c r="BR764" s="2289"/>
    </row>
    <row r="765" spans="1:70" ht="15.75" customHeight="1">
      <c r="A765" s="2289"/>
      <c r="B765" s="2289"/>
      <c r="C765" s="2289"/>
      <c r="D765" s="2289"/>
      <c r="E765" s="2289"/>
      <c r="F765" s="2289"/>
      <c r="G765" s="2290"/>
      <c r="H765" s="2289"/>
      <c r="I765" s="2289"/>
      <c r="J765" s="2290"/>
      <c r="K765" s="2289"/>
      <c r="L765" s="2289"/>
      <c r="M765" s="2290"/>
      <c r="N765" s="2290"/>
      <c r="O765" s="2290"/>
      <c r="P765" s="2290"/>
      <c r="Q765" s="2289"/>
      <c r="R765" s="2289"/>
      <c r="S765" s="2289"/>
      <c r="T765" s="2291"/>
      <c r="U765" s="2289"/>
      <c r="V765" s="2289"/>
      <c r="W765" s="2289"/>
      <c r="X765" s="2292"/>
      <c r="Y765" s="2292"/>
      <c r="Z765" s="2289"/>
      <c r="AA765" s="2289"/>
      <c r="AB765" s="2289"/>
      <c r="AC765" s="2289"/>
      <c r="AD765" s="2293"/>
      <c r="AE765" s="2293"/>
      <c r="AF765" s="2293"/>
      <c r="AG765" s="2293"/>
      <c r="AH765" s="2289"/>
      <c r="AI765" s="2289"/>
      <c r="AJ765" s="2294"/>
      <c r="AK765" s="2294"/>
      <c r="AL765" s="2289"/>
      <c r="AM765" s="2289"/>
      <c r="AN765" s="2289"/>
      <c r="AO765" s="2289"/>
      <c r="AP765" s="2289"/>
      <c r="AQ765" s="2289"/>
      <c r="AR765" s="2294"/>
      <c r="AS765" s="2294"/>
      <c r="AT765" s="2295"/>
      <c r="AU765" s="2295"/>
      <c r="AV765" s="2295"/>
      <c r="AW765" s="2295"/>
      <c r="AX765" s="2296"/>
      <c r="AY765" s="2289"/>
      <c r="AZ765" s="2289"/>
      <c r="BA765" s="2289"/>
      <c r="BB765" s="2289"/>
      <c r="BC765" s="2289"/>
      <c r="BD765" s="2289"/>
      <c r="BE765" s="2289"/>
      <c r="BF765" s="2289"/>
      <c r="BG765" s="2289"/>
      <c r="BH765" s="2289"/>
      <c r="BI765" s="2289"/>
      <c r="BJ765" s="2289"/>
      <c r="BK765" s="2289"/>
      <c r="BL765" s="2289"/>
      <c r="BM765" s="2289"/>
      <c r="BN765" s="2289"/>
      <c r="BO765" s="2289"/>
      <c r="BP765" s="2289"/>
      <c r="BQ765" s="2289"/>
      <c r="BR765" s="2289"/>
    </row>
    <row r="766" spans="1:70" ht="15.75" customHeight="1">
      <c r="A766" s="2289"/>
      <c r="B766" s="2289"/>
      <c r="C766" s="2289"/>
      <c r="D766" s="2289"/>
      <c r="E766" s="2289"/>
      <c r="F766" s="2289"/>
      <c r="G766" s="2290"/>
      <c r="H766" s="2289"/>
      <c r="I766" s="2289"/>
      <c r="J766" s="2290"/>
      <c r="K766" s="2289"/>
      <c r="L766" s="2289"/>
      <c r="M766" s="2290"/>
      <c r="N766" s="2290"/>
      <c r="O766" s="2290"/>
      <c r="P766" s="2290"/>
      <c r="Q766" s="2289"/>
      <c r="R766" s="2289"/>
      <c r="S766" s="2289"/>
      <c r="T766" s="2291"/>
      <c r="U766" s="2289"/>
      <c r="V766" s="2289"/>
      <c r="W766" s="2289"/>
      <c r="X766" s="2292"/>
      <c r="Y766" s="2292"/>
      <c r="Z766" s="2289"/>
      <c r="AA766" s="2289"/>
      <c r="AB766" s="2289"/>
      <c r="AC766" s="2289"/>
      <c r="AD766" s="2293"/>
      <c r="AE766" s="2293"/>
      <c r="AF766" s="2293"/>
      <c r="AG766" s="2293"/>
      <c r="AH766" s="2289"/>
      <c r="AI766" s="2289"/>
      <c r="AJ766" s="2294"/>
      <c r="AK766" s="2294"/>
      <c r="AL766" s="2289"/>
      <c r="AM766" s="2289"/>
      <c r="AN766" s="2289"/>
      <c r="AO766" s="2289"/>
      <c r="AP766" s="2289"/>
      <c r="AQ766" s="2289"/>
      <c r="AR766" s="2294"/>
      <c r="AS766" s="2294"/>
      <c r="AT766" s="2295"/>
      <c r="AU766" s="2295"/>
      <c r="AV766" s="2295"/>
      <c r="AW766" s="2295"/>
      <c r="AX766" s="2296"/>
      <c r="AY766" s="2289"/>
      <c r="AZ766" s="2289"/>
      <c r="BA766" s="2289"/>
      <c r="BB766" s="2289"/>
      <c r="BC766" s="2289"/>
      <c r="BD766" s="2289"/>
      <c r="BE766" s="2289"/>
      <c r="BF766" s="2289"/>
      <c r="BG766" s="2289"/>
      <c r="BH766" s="2289"/>
      <c r="BI766" s="2289"/>
      <c r="BJ766" s="2289"/>
      <c r="BK766" s="2289"/>
      <c r="BL766" s="2289"/>
      <c r="BM766" s="2289"/>
      <c r="BN766" s="2289"/>
      <c r="BO766" s="2289"/>
      <c r="BP766" s="2289"/>
      <c r="BQ766" s="2289"/>
      <c r="BR766" s="2289"/>
    </row>
    <row r="767" spans="1:70" ht="15.75" customHeight="1">
      <c r="A767" s="2289"/>
      <c r="B767" s="2289"/>
      <c r="C767" s="2289"/>
      <c r="D767" s="2289"/>
      <c r="E767" s="2289"/>
      <c r="F767" s="2289"/>
      <c r="G767" s="2290"/>
      <c r="H767" s="2289"/>
      <c r="I767" s="2289"/>
      <c r="J767" s="2290"/>
      <c r="K767" s="2289"/>
      <c r="L767" s="2289"/>
      <c r="M767" s="2290"/>
      <c r="N767" s="2290"/>
      <c r="O767" s="2290"/>
      <c r="P767" s="2290"/>
      <c r="Q767" s="2289"/>
      <c r="R767" s="2289"/>
      <c r="S767" s="2289"/>
      <c r="T767" s="2291"/>
      <c r="U767" s="2289"/>
      <c r="V767" s="2289"/>
      <c r="W767" s="2289"/>
      <c r="X767" s="2292"/>
      <c r="Y767" s="2292"/>
      <c r="Z767" s="2289"/>
      <c r="AA767" s="2289"/>
      <c r="AB767" s="2289"/>
      <c r="AC767" s="2289"/>
      <c r="AD767" s="2293"/>
      <c r="AE767" s="2293"/>
      <c r="AF767" s="2293"/>
      <c r="AG767" s="2293"/>
      <c r="AH767" s="2289"/>
      <c r="AI767" s="2289"/>
      <c r="AJ767" s="2294"/>
      <c r="AK767" s="2294"/>
      <c r="AL767" s="2289"/>
      <c r="AM767" s="2289"/>
      <c r="AN767" s="2289"/>
      <c r="AO767" s="2289"/>
      <c r="AP767" s="2289"/>
      <c r="AQ767" s="2289"/>
      <c r="AR767" s="2294"/>
      <c r="AS767" s="2294"/>
      <c r="AT767" s="2295"/>
      <c r="AU767" s="2295"/>
      <c r="AV767" s="2295"/>
      <c r="AW767" s="2295"/>
      <c r="AX767" s="2296"/>
      <c r="AY767" s="2289"/>
      <c r="AZ767" s="2289"/>
      <c r="BA767" s="2289"/>
      <c r="BB767" s="2289"/>
      <c r="BC767" s="2289"/>
      <c r="BD767" s="2289"/>
      <c r="BE767" s="2289"/>
      <c r="BF767" s="2289"/>
      <c r="BG767" s="2289"/>
      <c r="BH767" s="2289"/>
      <c r="BI767" s="2289"/>
      <c r="BJ767" s="2289"/>
      <c r="BK767" s="2289"/>
      <c r="BL767" s="2289"/>
      <c r="BM767" s="2289"/>
      <c r="BN767" s="2289"/>
      <c r="BO767" s="2289"/>
      <c r="BP767" s="2289"/>
      <c r="BQ767" s="2289"/>
      <c r="BR767" s="2289"/>
    </row>
    <row r="768" spans="1:70" ht="15.75" customHeight="1">
      <c r="A768" s="2289"/>
      <c r="B768" s="2289"/>
      <c r="C768" s="2289"/>
      <c r="D768" s="2289"/>
      <c r="E768" s="2289"/>
      <c r="F768" s="2289"/>
      <c r="G768" s="2290"/>
      <c r="H768" s="2289"/>
      <c r="I768" s="2289"/>
      <c r="J768" s="2290"/>
      <c r="K768" s="2289"/>
      <c r="L768" s="2289"/>
      <c r="M768" s="2290"/>
      <c r="N768" s="2290"/>
      <c r="O768" s="2290"/>
      <c r="P768" s="2290"/>
      <c r="Q768" s="2289"/>
      <c r="R768" s="2289"/>
      <c r="S768" s="2289"/>
      <c r="T768" s="2291"/>
      <c r="U768" s="2289"/>
      <c r="V768" s="2289"/>
      <c r="W768" s="2289"/>
      <c r="X768" s="2292"/>
      <c r="Y768" s="2292"/>
      <c r="Z768" s="2289"/>
      <c r="AA768" s="2289"/>
      <c r="AB768" s="2289"/>
      <c r="AC768" s="2289"/>
      <c r="AD768" s="2293"/>
      <c r="AE768" s="2293"/>
      <c r="AF768" s="2293"/>
      <c r="AG768" s="2293"/>
      <c r="AH768" s="2289"/>
      <c r="AI768" s="2289"/>
      <c r="AJ768" s="2294"/>
      <c r="AK768" s="2294"/>
      <c r="AL768" s="2289"/>
      <c r="AM768" s="2289"/>
      <c r="AN768" s="2289"/>
      <c r="AO768" s="2289"/>
      <c r="AP768" s="2289"/>
      <c r="AQ768" s="2289"/>
      <c r="AR768" s="2294"/>
      <c r="AS768" s="2294"/>
      <c r="AT768" s="2295"/>
      <c r="AU768" s="2295"/>
      <c r="AV768" s="2295"/>
      <c r="AW768" s="2295"/>
      <c r="AX768" s="2296"/>
      <c r="AY768" s="2289"/>
      <c r="AZ768" s="2289"/>
      <c r="BA768" s="2289"/>
      <c r="BB768" s="2289"/>
      <c r="BC768" s="2289"/>
      <c r="BD768" s="2289"/>
      <c r="BE768" s="2289"/>
      <c r="BF768" s="2289"/>
      <c r="BG768" s="2289"/>
      <c r="BH768" s="2289"/>
      <c r="BI768" s="2289"/>
      <c r="BJ768" s="2289"/>
      <c r="BK768" s="2289"/>
      <c r="BL768" s="2289"/>
      <c r="BM768" s="2289"/>
      <c r="BN768" s="2289"/>
      <c r="BO768" s="2289"/>
      <c r="BP768" s="2289"/>
      <c r="BQ768" s="2289"/>
      <c r="BR768" s="2289"/>
    </row>
    <row r="769" spans="1:70" ht="15.75" customHeight="1">
      <c r="A769" s="2289"/>
      <c r="B769" s="2289"/>
      <c r="C769" s="2289"/>
      <c r="D769" s="2289"/>
      <c r="E769" s="2289"/>
      <c r="F769" s="2289"/>
      <c r="G769" s="2290"/>
      <c r="H769" s="2289"/>
      <c r="I769" s="2289"/>
      <c r="J769" s="2290"/>
      <c r="K769" s="2289"/>
      <c r="L769" s="2289"/>
      <c r="M769" s="2290"/>
      <c r="N769" s="2290"/>
      <c r="O769" s="2290"/>
      <c r="P769" s="2290"/>
      <c r="Q769" s="2289"/>
      <c r="R769" s="2289"/>
      <c r="S769" s="2289"/>
      <c r="T769" s="2291"/>
      <c r="U769" s="2289"/>
      <c r="V769" s="2289"/>
      <c r="W769" s="2289"/>
      <c r="X769" s="2292"/>
      <c r="Y769" s="2292"/>
      <c r="Z769" s="2289"/>
      <c r="AA769" s="2289"/>
      <c r="AB769" s="2289"/>
      <c r="AC769" s="2289"/>
      <c r="AD769" s="2293"/>
      <c r="AE769" s="2293"/>
      <c r="AF769" s="2293"/>
      <c r="AG769" s="2293"/>
      <c r="AH769" s="2289"/>
      <c r="AI769" s="2289"/>
      <c r="AJ769" s="2294"/>
      <c r="AK769" s="2294"/>
      <c r="AL769" s="2289"/>
      <c r="AM769" s="2289"/>
      <c r="AN769" s="2289"/>
      <c r="AO769" s="2289"/>
      <c r="AP769" s="2289"/>
      <c r="AQ769" s="2289"/>
      <c r="AR769" s="2294"/>
      <c r="AS769" s="2294"/>
      <c r="AT769" s="2295"/>
      <c r="AU769" s="2295"/>
      <c r="AV769" s="2295"/>
      <c r="AW769" s="2295"/>
      <c r="AX769" s="2296"/>
      <c r="AY769" s="2289"/>
      <c r="AZ769" s="2289"/>
      <c r="BA769" s="2289"/>
      <c r="BB769" s="2289"/>
      <c r="BC769" s="2289"/>
      <c r="BD769" s="2289"/>
      <c r="BE769" s="2289"/>
      <c r="BF769" s="2289"/>
      <c r="BG769" s="2289"/>
      <c r="BH769" s="2289"/>
      <c r="BI769" s="2289"/>
      <c r="BJ769" s="2289"/>
      <c r="BK769" s="2289"/>
      <c r="BL769" s="2289"/>
      <c r="BM769" s="2289"/>
      <c r="BN769" s="2289"/>
      <c r="BO769" s="2289"/>
      <c r="BP769" s="2289"/>
      <c r="BQ769" s="2289"/>
      <c r="BR769" s="2289"/>
    </row>
    <row r="770" spans="1:70" ht="15.75" customHeight="1">
      <c r="A770" s="2289"/>
      <c r="B770" s="2289"/>
      <c r="C770" s="2289"/>
      <c r="D770" s="2289"/>
      <c r="E770" s="2289"/>
      <c r="F770" s="2289"/>
      <c r="G770" s="2290"/>
      <c r="H770" s="2289"/>
      <c r="I770" s="2289"/>
      <c r="J770" s="2290"/>
      <c r="K770" s="2289"/>
      <c r="L770" s="2289"/>
      <c r="M770" s="2290"/>
      <c r="N770" s="2290"/>
      <c r="O770" s="2290"/>
      <c r="P770" s="2290"/>
      <c r="Q770" s="2289"/>
      <c r="R770" s="2289"/>
      <c r="S770" s="2289"/>
      <c r="T770" s="2291"/>
      <c r="U770" s="2289"/>
      <c r="V770" s="2289"/>
      <c r="W770" s="2289"/>
      <c r="X770" s="2292"/>
      <c r="Y770" s="2292"/>
      <c r="Z770" s="2289"/>
      <c r="AA770" s="2289"/>
      <c r="AB770" s="2289"/>
      <c r="AC770" s="2289"/>
      <c r="AD770" s="2293"/>
      <c r="AE770" s="2293"/>
      <c r="AF770" s="2293"/>
      <c r="AG770" s="2293"/>
      <c r="AH770" s="2289"/>
      <c r="AI770" s="2289"/>
      <c r="AJ770" s="2294"/>
      <c r="AK770" s="2294"/>
      <c r="AL770" s="2289"/>
      <c r="AM770" s="2289"/>
      <c r="AN770" s="2289"/>
      <c r="AO770" s="2289"/>
      <c r="AP770" s="2289"/>
      <c r="AQ770" s="2289"/>
      <c r="AR770" s="2294"/>
      <c r="AS770" s="2294"/>
      <c r="AT770" s="2295"/>
      <c r="AU770" s="2295"/>
      <c r="AV770" s="2295"/>
      <c r="AW770" s="2295"/>
      <c r="AX770" s="2296"/>
      <c r="AY770" s="2289"/>
      <c r="AZ770" s="2289"/>
      <c r="BA770" s="2289"/>
      <c r="BB770" s="2289"/>
      <c r="BC770" s="2289"/>
      <c r="BD770" s="2289"/>
      <c r="BE770" s="2289"/>
      <c r="BF770" s="2289"/>
      <c r="BG770" s="2289"/>
      <c r="BH770" s="2289"/>
      <c r="BI770" s="2289"/>
      <c r="BJ770" s="2289"/>
      <c r="BK770" s="2289"/>
      <c r="BL770" s="2289"/>
      <c r="BM770" s="2289"/>
      <c r="BN770" s="2289"/>
      <c r="BO770" s="2289"/>
      <c r="BP770" s="2289"/>
      <c r="BQ770" s="2289"/>
      <c r="BR770" s="2289"/>
    </row>
    <row r="771" spans="1:70" ht="15.75" customHeight="1">
      <c r="A771" s="2289"/>
      <c r="B771" s="2289"/>
      <c r="C771" s="2289"/>
      <c r="D771" s="2289"/>
      <c r="E771" s="2289"/>
      <c r="F771" s="2289"/>
      <c r="G771" s="2290"/>
      <c r="H771" s="2289"/>
      <c r="I771" s="2289"/>
      <c r="J771" s="2290"/>
      <c r="K771" s="2289"/>
      <c r="L771" s="2289"/>
      <c r="M771" s="2290"/>
      <c r="N771" s="2290"/>
      <c r="O771" s="2290"/>
      <c r="P771" s="2290"/>
      <c r="Q771" s="2289"/>
      <c r="R771" s="2289"/>
      <c r="S771" s="2289"/>
      <c r="T771" s="2291"/>
      <c r="U771" s="2289"/>
      <c r="V771" s="2289"/>
      <c r="W771" s="2289"/>
      <c r="X771" s="2292"/>
      <c r="Y771" s="2292"/>
      <c r="Z771" s="2289"/>
      <c r="AA771" s="2289"/>
      <c r="AB771" s="2289"/>
      <c r="AC771" s="2289"/>
      <c r="AD771" s="2293"/>
      <c r="AE771" s="2293"/>
      <c r="AF771" s="2293"/>
      <c r="AG771" s="2293"/>
      <c r="AH771" s="2289"/>
      <c r="AI771" s="2289"/>
      <c r="AJ771" s="2294"/>
      <c r="AK771" s="2294"/>
      <c r="AL771" s="2289"/>
      <c r="AM771" s="2289"/>
      <c r="AN771" s="2289"/>
      <c r="AO771" s="2289"/>
      <c r="AP771" s="2289"/>
      <c r="AQ771" s="2289"/>
      <c r="AR771" s="2294"/>
      <c r="AS771" s="2294"/>
      <c r="AT771" s="2295"/>
      <c r="AU771" s="2295"/>
      <c r="AV771" s="2295"/>
      <c r="AW771" s="2295"/>
      <c r="AX771" s="2296"/>
      <c r="AY771" s="2289"/>
      <c r="AZ771" s="2289"/>
      <c r="BA771" s="2289"/>
      <c r="BB771" s="2289"/>
      <c r="BC771" s="2289"/>
      <c r="BD771" s="2289"/>
      <c r="BE771" s="2289"/>
      <c r="BF771" s="2289"/>
      <c r="BG771" s="2289"/>
      <c r="BH771" s="2289"/>
      <c r="BI771" s="2289"/>
      <c r="BJ771" s="2289"/>
      <c r="BK771" s="2289"/>
      <c r="BL771" s="2289"/>
      <c r="BM771" s="2289"/>
      <c r="BN771" s="2289"/>
      <c r="BO771" s="2289"/>
      <c r="BP771" s="2289"/>
      <c r="BQ771" s="2289"/>
      <c r="BR771" s="2289"/>
    </row>
    <row r="772" spans="1:70" ht="15.75" customHeight="1">
      <c r="A772" s="2289"/>
      <c r="B772" s="2289"/>
      <c r="C772" s="2289"/>
      <c r="D772" s="2289"/>
      <c r="E772" s="2289"/>
      <c r="F772" s="2289"/>
      <c r="G772" s="2290"/>
      <c r="H772" s="2289"/>
      <c r="I772" s="2289"/>
      <c r="J772" s="2290"/>
      <c r="K772" s="2289"/>
      <c r="L772" s="2289"/>
      <c r="M772" s="2290"/>
      <c r="N772" s="2290"/>
      <c r="O772" s="2290"/>
      <c r="P772" s="2290"/>
      <c r="Q772" s="2289"/>
      <c r="R772" s="2289"/>
      <c r="S772" s="2289"/>
      <c r="T772" s="2291"/>
      <c r="U772" s="2289"/>
      <c r="V772" s="2289"/>
      <c r="W772" s="2289"/>
      <c r="X772" s="2292"/>
      <c r="Y772" s="2292"/>
      <c r="Z772" s="2289"/>
      <c r="AA772" s="2289"/>
      <c r="AB772" s="2289"/>
      <c r="AC772" s="2289"/>
      <c r="AD772" s="2293"/>
      <c r="AE772" s="2293"/>
      <c r="AF772" s="2293"/>
      <c r="AG772" s="2293"/>
      <c r="AH772" s="2289"/>
      <c r="AI772" s="2289"/>
      <c r="AJ772" s="2294"/>
      <c r="AK772" s="2294"/>
      <c r="AL772" s="2289"/>
      <c r="AM772" s="2289"/>
      <c r="AN772" s="2289"/>
      <c r="AO772" s="2289"/>
      <c r="AP772" s="2289"/>
      <c r="AQ772" s="2289"/>
      <c r="AR772" s="2294"/>
      <c r="AS772" s="2294"/>
      <c r="AT772" s="2295"/>
      <c r="AU772" s="2295"/>
      <c r="AV772" s="2295"/>
      <c r="AW772" s="2295"/>
      <c r="AX772" s="2296"/>
      <c r="AY772" s="2289"/>
      <c r="AZ772" s="2289"/>
      <c r="BA772" s="2289"/>
      <c r="BB772" s="2289"/>
      <c r="BC772" s="2289"/>
      <c r="BD772" s="2289"/>
      <c r="BE772" s="2289"/>
      <c r="BF772" s="2289"/>
      <c r="BG772" s="2289"/>
      <c r="BH772" s="2289"/>
      <c r="BI772" s="2289"/>
      <c r="BJ772" s="2289"/>
      <c r="BK772" s="2289"/>
      <c r="BL772" s="2289"/>
      <c r="BM772" s="2289"/>
      <c r="BN772" s="2289"/>
      <c r="BO772" s="2289"/>
      <c r="BP772" s="2289"/>
      <c r="BQ772" s="2289"/>
      <c r="BR772" s="2289"/>
    </row>
    <row r="773" spans="1:70" ht="15.75" customHeight="1">
      <c r="A773" s="2289"/>
      <c r="B773" s="2289"/>
      <c r="C773" s="2289"/>
      <c r="D773" s="2289"/>
      <c r="E773" s="2289"/>
      <c r="F773" s="2289"/>
      <c r="G773" s="2290"/>
      <c r="H773" s="2289"/>
      <c r="I773" s="2289"/>
      <c r="J773" s="2290"/>
      <c r="K773" s="2289"/>
      <c r="L773" s="2289"/>
      <c r="M773" s="2290"/>
      <c r="N773" s="2290"/>
      <c r="O773" s="2290"/>
      <c r="P773" s="2290"/>
      <c r="Q773" s="2289"/>
      <c r="R773" s="2289"/>
      <c r="S773" s="2289"/>
      <c r="T773" s="2291"/>
      <c r="U773" s="2289"/>
      <c r="V773" s="2289"/>
      <c r="W773" s="2289"/>
      <c r="X773" s="2292"/>
      <c r="Y773" s="2292"/>
      <c r="Z773" s="2289"/>
      <c r="AA773" s="2289"/>
      <c r="AB773" s="2289"/>
      <c r="AC773" s="2289"/>
      <c r="AD773" s="2293"/>
      <c r="AE773" s="2293"/>
      <c r="AF773" s="2293"/>
      <c r="AG773" s="2293"/>
      <c r="AH773" s="2289"/>
      <c r="AI773" s="2289"/>
      <c r="AJ773" s="2294"/>
      <c r="AK773" s="2294"/>
      <c r="AL773" s="2289"/>
      <c r="AM773" s="2289"/>
      <c r="AN773" s="2289"/>
      <c r="AO773" s="2289"/>
      <c r="AP773" s="2289"/>
      <c r="AQ773" s="2289"/>
      <c r="AR773" s="2294"/>
      <c r="AS773" s="2294"/>
      <c r="AT773" s="2295"/>
      <c r="AU773" s="2295"/>
      <c r="AV773" s="2295"/>
      <c r="AW773" s="2295"/>
      <c r="AX773" s="2296"/>
      <c r="AY773" s="2289"/>
      <c r="AZ773" s="2289"/>
      <c r="BA773" s="2289"/>
      <c r="BB773" s="2289"/>
      <c r="BC773" s="2289"/>
      <c r="BD773" s="2289"/>
      <c r="BE773" s="2289"/>
      <c r="BF773" s="2289"/>
      <c r="BG773" s="2289"/>
      <c r="BH773" s="2289"/>
      <c r="BI773" s="2289"/>
      <c r="BJ773" s="2289"/>
      <c r="BK773" s="2289"/>
      <c r="BL773" s="2289"/>
      <c r="BM773" s="2289"/>
      <c r="BN773" s="2289"/>
      <c r="BO773" s="2289"/>
      <c r="BP773" s="2289"/>
      <c r="BQ773" s="2289"/>
      <c r="BR773" s="2289"/>
    </row>
    <row r="774" spans="1:70" ht="15.75" customHeight="1">
      <c r="A774" s="2289"/>
      <c r="B774" s="2289"/>
      <c r="C774" s="2289"/>
      <c r="D774" s="2289"/>
      <c r="E774" s="2289"/>
      <c r="F774" s="2289"/>
      <c r="G774" s="2290"/>
      <c r="H774" s="2289"/>
      <c r="I774" s="2289"/>
      <c r="J774" s="2290"/>
      <c r="K774" s="2289"/>
      <c r="L774" s="2289"/>
      <c r="M774" s="2290"/>
      <c r="N774" s="2290"/>
      <c r="O774" s="2290"/>
      <c r="P774" s="2290"/>
      <c r="Q774" s="2289"/>
      <c r="R774" s="2289"/>
      <c r="S774" s="2289"/>
      <c r="T774" s="2291"/>
      <c r="U774" s="2289"/>
      <c r="V774" s="2289"/>
      <c r="W774" s="2289"/>
      <c r="X774" s="2292"/>
      <c r="Y774" s="2292"/>
      <c r="Z774" s="2289"/>
      <c r="AA774" s="2289"/>
      <c r="AB774" s="2289"/>
      <c r="AC774" s="2289"/>
      <c r="AD774" s="2293"/>
      <c r="AE774" s="2293"/>
      <c r="AF774" s="2293"/>
      <c r="AG774" s="2293"/>
      <c r="AH774" s="2289"/>
      <c r="AI774" s="2289"/>
      <c r="AJ774" s="2294"/>
      <c r="AK774" s="2294"/>
      <c r="AL774" s="2289"/>
      <c r="AM774" s="2289"/>
      <c r="AN774" s="2289"/>
      <c r="AO774" s="2289"/>
      <c r="AP774" s="2289"/>
      <c r="AQ774" s="2289"/>
      <c r="AR774" s="2294"/>
      <c r="AS774" s="2294"/>
      <c r="AT774" s="2295"/>
      <c r="AU774" s="2295"/>
      <c r="AV774" s="2295"/>
      <c r="AW774" s="2295"/>
      <c r="AX774" s="2296"/>
      <c r="AY774" s="2289"/>
      <c r="AZ774" s="2289"/>
      <c r="BA774" s="2289"/>
      <c r="BB774" s="2289"/>
      <c r="BC774" s="2289"/>
      <c r="BD774" s="2289"/>
      <c r="BE774" s="2289"/>
      <c r="BF774" s="2289"/>
      <c r="BG774" s="2289"/>
      <c r="BH774" s="2289"/>
      <c r="BI774" s="2289"/>
      <c r="BJ774" s="2289"/>
      <c r="BK774" s="2289"/>
      <c r="BL774" s="2289"/>
      <c r="BM774" s="2289"/>
      <c r="BN774" s="2289"/>
      <c r="BO774" s="2289"/>
      <c r="BP774" s="2289"/>
      <c r="BQ774" s="2289"/>
      <c r="BR774" s="2289"/>
    </row>
    <row r="775" spans="1:70" ht="15.75" customHeight="1">
      <c r="A775" s="2289"/>
      <c r="B775" s="2289"/>
      <c r="C775" s="2289"/>
      <c r="D775" s="2289"/>
      <c r="E775" s="2289"/>
      <c r="F775" s="2289"/>
      <c r="G775" s="2290"/>
      <c r="H775" s="2289"/>
      <c r="I775" s="2289"/>
      <c r="J775" s="2290"/>
      <c r="K775" s="2289"/>
      <c r="L775" s="2289"/>
      <c r="M775" s="2290"/>
      <c r="N775" s="2290"/>
      <c r="O775" s="2290"/>
      <c r="P775" s="2290"/>
      <c r="Q775" s="2289"/>
      <c r="R775" s="2289"/>
      <c r="S775" s="2289"/>
      <c r="T775" s="2291"/>
      <c r="U775" s="2289"/>
      <c r="V775" s="2289"/>
      <c r="W775" s="2289"/>
      <c r="X775" s="2292"/>
      <c r="Y775" s="2292"/>
      <c r="Z775" s="2289"/>
      <c r="AA775" s="2289"/>
      <c r="AB775" s="2289"/>
      <c r="AC775" s="2289"/>
      <c r="AD775" s="2293"/>
      <c r="AE775" s="2293"/>
      <c r="AF775" s="2293"/>
      <c r="AG775" s="2293"/>
      <c r="AH775" s="2289"/>
      <c r="AI775" s="2289"/>
      <c r="AJ775" s="2294"/>
      <c r="AK775" s="2294"/>
      <c r="AL775" s="2289"/>
      <c r="AM775" s="2289"/>
      <c r="AN775" s="2289"/>
      <c r="AO775" s="2289"/>
      <c r="AP775" s="2289"/>
      <c r="AQ775" s="2289"/>
      <c r="AR775" s="2294"/>
      <c r="AS775" s="2294"/>
      <c r="AT775" s="2295"/>
      <c r="AU775" s="2295"/>
      <c r="AV775" s="2295"/>
      <c r="AW775" s="2295"/>
      <c r="AX775" s="2296"/>
      <c r="AY775" s="2289"/>
      <c r="AZ775" s="2289"/>
      <c r="BA775" s="2289"/>
      <c r="BB775" s="2289"/>
      <c r="BC775" s="2289"/>
      <c r="BD775" s="2289"/>
      <c r="BE775" s="2289"/>
      <c r="BF775" s="2289"/>
      <c r="BG775" s="2289"/>
      <c r="BH775" s="2289"/>
      <c r="BI775" s="2289"/>
      <c r="BJ775" s="2289"/>
      <c r="BK775" s="2289"/>
      <c r="BL775" s="2289"/>
      <c r="BM775" s="2289"/>
      <c r="BN775" s="2289"/>
      <c r="BO775" s="2289"/>
      <c r="BP775" s="2289"/>
      <c r="BQ775" s="2289"/>
      <c r="BR775" s="2289"/>
    </row>
    <row r="776" spans="1:70" ht="15.75" customHeight="1">
      <c r="A776" s="2289"/>
      <c r="B776" s="2289"/>
      <c r="C776" s="2289"/>
      <c r="D776" s="2289"/>
      <c r="E776" s="2289"/>
      <c r="F776" s="2289"/>
      <c r="G776" s="2290"/>
      <c r="H776" s="2289"/>
      <c r="I776" s="2289"/>
      <c r="J776" s="2290"/>
      <c r="K776" s="2289"/>
      <c r="L776" s="2289"/>
      <c r="M776" s="2290"/>
      <c r="N776" s="2290"/>
      <c r="O776" s="2290"/>
      <c r="P776" s="2290"/>
      <c r="Q776" s="2289"/>
      <c r="R776" s="2289"/>
      <c r="S776" s="2289"/>
      <c r="T776" s="2291"/>
      <c r="U776" s="2289"/>
      <c r="V776" s="2289"/>
      <c r="W776" s="2289"/>
      <c r="X776" s="2292"/>
      <c r="Y776" s="2292"/>
      <c r="Z776" s="2289"/>
      <c r="AA776" s="2289"/>
      <c r="AB776" s="2289"/>
      <c r="AC776" s="2289"/>
      <c r="AD776" s="2293"/>
      <c r="AE776" s="2293"/>
      <c r="AF776" s="2293"/>
      <c r="AG776" s="2293"/>
      <c r="AH776" s="2289"/>
      <c r="AI776" s="2289"/>
      <c r="AJ776" s="2294"/>
      <c r="AK776" s="2294"/>
      <c r="AL776" s="2289"/>
      <c r="AM776" s="2289"/>
      <c r="AN776" s="2289"/>
      <c r="AO776" s="2289"/>
      <c r="AP776" s="2289"/>
      <c r="AQ776" s="2289"/>
      <c r="AR776" s="2294"/>
      <c r="AS776" s="2294"/>
      <c r="AT776" s="2295"/>
      <c r="AU776" s="2295"/>
      <c r="AV776" s="2295"/>
      <c r="AW776" s="2295"/>
      <c r="AX776" s="2296"/>
      <c r="AY776" s="2289"/>
      <c r="AZ776" s="2289"/>
      <c r="BA776" s="2289"/>
      <c r="BB776" s="2289"/>
      <c r="BC776" s="2289"/>
      <c r="BD776" s="2289"/>
      <c r="BE776" s="2289"/>
      <c r="BF776" s="2289"/>
      <c r="BG776" s="2289"/>
      <c r="BH776" s="2289"/>
      <c r="BI776" s="2289"/>
      <c r="BJ776" s="2289"/>
      <c r="BK776" s="2289"/>
      <c r="BL776" s="2289"/>
      <c r="BM776" s="2289"/>
      <c r="BN776" s="2289"/>
      <c r="BO776" s="2289"/>
      <c r="BP776" s="2289"/>
      <c r="BQ776" s="2289"/>
      <c r="BR776" s="2289"/>
    </row>
    <row r="777" spans="1:70" ht="15.75" customHeight="1">
      <c r="A777" s="2289"/>
      <c r="B777" s="2289"/>
      <c r="C777" s="2289"/>
      <c r="D777" s="2289"/>
      <c r="E777" s="2289"/>
      <c r="F777" s="2289"/>
      <c r="G777" s="2290"/>
      <c r="H777" s="2289"/>
      <c r="I777" s="2289"/>
      <c r="J777" s="2290"/>
      <c r="K777" s="2289"/>
      <c r="L777" s="2289"/>
      <c r="M777" s="2290"/>
      <c r="N777" s="2290"/>
      <c r="O777" s="2290"/>
      <c r="P777" s="2290"/>
      <c r="Q777" s="2289"/>
      <c r="R777" s="2289"/>
      <c r="S777" s="2289"/>
      <c r="T777" s="2291"/>
      <c r="U777" s="2289"/>
      <c r="V777" s="2289"/>
      <c r="W777" s="2289"/>
      <c r="X777" s="2292"/>
      <c r="Y777" s="2292"/>
      <c r="Z777" s="2289"/>
      <c r="AA777" s="2289"/>
      <c r="AB777" s="2289"/>
      <c r="AC777" s="2289"/>
      <c r="AD777" s="2293"/>
      <c r="AE777" s="2293"/>
      <c r="AF777" s="2293"/>
      <c r="AG777" s="2293"/>
      <c r="AH777" s="2289"/>
      <c r="AI777" s="2289"/>
      <c r="AJ777" s="2294"/>
      <c r="AK777" s="2294"/>
      <c r="AL777" s="2289"/>
      <c r="AM777" s="2289"/>
      <c r="AN777" s="2289"/>
      <c r="AO777" s="2289"/>
      <c r="AP777" s="2289"/>
      <c r="AQ777" s="2289"/>
      <c r="AR777" s="2294"/>
      <c r="AS777" s="2294"/>
      <c r="AT777" s="2295"/>
      <c r="AU777" s="2295"/>
      <c r="AV777" s="2295"/>
      <c r="AW777" s="2295"/>
      <c r="AX777" s="2296"/>
      <c r="AY777" s="2289"/>
      <c r="AZ777" s="2289"/>
      <c r="BA777" s="2289"/>
      <c r="BB777" s="2289"/>
      <c r="BC777" s="2289"/>
      <c r="BD777" s="2289"/>
      <c r="BE777" s="2289"/>
      <c r="BF777" s="2289"/>
      <c r="BG777" s="2289"/>
      <c r="BH777" s="2289"/>
      <c r="BI777" s="2289"/>
      <c r="BJ777" s="2289"/>
      <c r="BK777" s="2289"/>
      <c r="BL777" s="2289"/>
      <c r="BM777" s="2289"/>
      <c r="BN777" s="2289"/>
      <c r="BO777" s="2289"/>
      <c r="BP777" s="2289"/>
      <c r="BQ777" s="2289"/>
      <c r="BR777" s="2289"/>
    </row>
    <row r="778" spans="1:70" ht="15.75" customHeight="1">
      <c r="A778" s="2289"/>
      <c r="B778" s="2289"/>
      <c r="C778" s="2289"/>
      <c r="D778" s="2289"/>
      <c r="E778" s="2289"/>
      <c r="F778" s="2289"/>
      <c r="G778" s="2290"/>
      <c r="H778" s="2289"/>
      <c r="I778" s="2289"/>
      <c r="J778" s="2290"/>
      <c r="K778" s="2289"/>
      <c r="L778" s="2289"/>
      <c r="M778" s="2290"/>
      <c r="N778" s="2290"/>
      <c r="O778" s="2290"/>
      <c r="P778" s="2290"/>
      <c r="Q778" s="2289"/>
      <c r="R778" s="2289"/>
      <c r="S778" s="2289"/>
      <c r="T778" s="2291"/>
      <c r="U778" s="2289"/>
      <c r="V778" s="2289"/>
      <c r="W778" s="2289"/>
      <c r="X778" s="2292"/>
      <c r="Y778" s="2292"/>
      <c r="Z778" s="2289"/>
      <c r="AA778" s="2289"/>
      <c r="AB778" s="2289"/>
      <c r="AC778" s="2289"/>
      <c r="AD778" s="2293"/>
      <c r="AE778" s="2293"/>
      <c r="AF778" s="2293"/>
      <c r="AG778" s="2293"/>
      <c r="AH778" s="2289"/>
      <c r="AI778" s="2289"/>
      <c r="AJ778" s="2294"/>
      <c r="AK778" s="2294"/>
      <c r="AL778" s="2289"/>
      <c r="AM778" s="2289"/>
      <c r="AN778" s="2289"/>
      <c r="AO778" s="2289"/>
      <c r="AP778" s="2289"/>
      <c r="AQ778" s="2289"/>
      <c r="AR778" s="2294"/>
      <c r="AS778" s="2294"/>
      <c r="AT778" s="2295"/>
      <c r="AU778" s="2295"/>
      <c r="AV778" s="2295"/>
      <c r="AW778" s="2295"/>
      <c r="AX778" s="2296"/>
      <c r="AY778" s="2289"/>
      <c r="AZ778" s="2289"/>
      <c r="BA778" s="2289"/>
      <c r="BB778" s="2289"/>
      <c r="BC778" s="2289"/>
      <c r="BD778" s="2289"/>
      <c r="BE778" s="2289"/>
      <c r="BF778" s="2289"/>
      <c r="BG778" s="2289"/>
      <c r="BH778" s="2289"/>
      <c r="BI778" s="2289"/>
      <c r="BJ778" s="2289"/>
      <c r="BK778" s="2289"/>
      <c r="BL778" s="2289"/>
      <c r="BM778" s="2289"/>
      <c r="BN778" s="2289"/>
      <c r="BO778" s="2289"/>
      <c r="BP778" s="2289"/>
      <c r="BQ778" s="2289"/>
      <c r="BR778" s="2289"/>
    </row>
    <row r="779" spans="1:70" ht="15.75" customHeight="1">
      <c r="A779" s="2289"/>
      <c r="B779" s="2289"/>
      <c r="C779" s="2289"/>
      <c r="D779" s="2289"/>
      <c r="E779" s="2289"/>
      <c r="F779" s="2289"/>
      <c r="G779" s="2290"/>
      <c r="H779" s="2289"/>
      <c r="I779" s="2289"/>
      <c r="J779" s="2290"/>
      <c r="K779" s="2289"/>
      <c r="L779" s="2289"/>
      <c r="M779" s="2290"/>
      <c r="N779" s="2290"/>
      <c r="O779" s="2290"/>
      <c r="P779" s="2290"/>
      <c r="Q779" s="2289"/>
      <c r="R779" s="2289"/>
      <c r="S779" s="2289"/>
      <c r="T779" s="2291"/>
      <c r="U779" s="2289"/>
      <c r="V779" s="2289"/>
      <c r="W779" s="2289"/>
      <c r="X779" s="2292"/>
      <c r="Y779" s="2292"/>
      <c r="Z779" s="2289"/>
      <c r="AA779" s="2289"/>
      <c r="AB779" s="2289"/>
      <c r="AC779" s="2289"/>
      <c r="AD779" s="2293"/>
      <c r="AE779" s="2293"/>
      <c r="AF779" s="2293"/>
      <c r="AG779" s="2293"/>
      <c r="AH779" s="2289"/>
      <c r="AI779" s="2289"/>
      <c r="AJ779" s="2294"/>
      <c r="AK779" s="2294"/>
      <c r="AL779" s="2289"/>
      <c r="AM779" s="2289"/>
      <c r="AN779" s="2289"/>
      <c r="AO779" s="2289"/>
      <c r="AP779" s="2289"/>
      <c r="AQ779" s="2289"/>
      <c r="AR779" s="2294"/>
      <c r="AS779" s="2294"/>
      <c r="AT779" s="2295"/>
      <c r="AU779" s="2295"/>
      <c r="AV779" s="2295"/>
      <c r="AW779" s="2295"/>
      <c r="AX779" s="2296"/>
      <c r="AY779" s="2289"/>
      <c r="AZ779" s="2289"/>
      <c r="BA779" s="2289"/>
      <c r="BB779" s="2289"/>
      <c r="BC779" s="2289"/>
      <c r="BD779" s="2289"/>
      <c r="BE779" s="2289"/>
      <c r="BF779" s="2289"/>
      <c r="BG779" s="2289"/>
      <c r="BH779" s="2289"/>
      <c r="BI779" s="2289"/>
      <c r="BJ779" s="2289"/>
      <c r="BK779" s="2289"/>
      <c r="BL779" s="2289"/>
      <c r="BM779" s="2289"/>
      <c r="BN779" s="2289"/>
      <c r="BO779" s="2289"/>
      <c r="BP779" s="2289"/>
      <c r="BQ779" s="2289"/>
      <c r="BR779" s="2289"/>
    </row>
    <row r="780" spans="1:70" ht="15.75" customHeight="1">
      <c r="A780" s="2289"/>
      <c r="B780" s="2289"/>
      <c r="C780" s="2289"/>
      <c r="D780" s="2289"/>
      <c r="E780" s="2289"/>
      <c r="F780" s="2289"/>
      <c r="G780" s="2290"/>
      <c r="H780" s="2289"/>
      <c r="I780" s="2289"/>
      <c r="J780" s="2290"/>
      <c r="K780" s="2289"/>
      <c r="L780" s="2289"/>
      <c r="M780" s="2290"/>
      <c r="N780" s="2290"/>
      <c r="O780" s="2290"/>
      <c r="P780" s="2290"/>
      <c r="Q780" s="2289"/>
      <c r="R780" s="2289"/>
      <c r="S780" s="2289"/>
      <c r="T780" s="2291"/>
      <c r="U780" s="2289"/>
      <c r="V780" s="2289"/>
      <c r="W780" s="2289"/>
      <c r="X780" s="2292"/>
      <c r="Y780" s="2292"/>
      <c r="Z780" s="2289"/>
      <c r="AA780" s="2289"/>
      <c r="AB780" s="2289"/>
      <c r="AC780" s="2289"/>
      <c r="AD780" s="2293"/>
      <c r="AE780" s="2293"/>
      <c r="AF780" s="2293"/>
      <c r="AG780" s="2293"/>
      <c r="AH780" s="2289"/>
      <c r="AI780" s="2289"/>
      <c r="AJ780" s="2294"/>
      <c r="AK780" s="2294"/>
      <c r="AL780" s="2289"/>
      <c r="AM780" s="2289"/>
      <c r="AN780" s="2289"/>
      <c r="AO780" s="2289"/>
      <c r="AP780" s="2289"/>
      <c r="AQ780" s="2289"/>
      <c r="AR780" s="2294"/>
      <c r="AS780" s="2294"/>
      <c r="AT780" s="2295"/>
      <c r="AU780" s="2295"/>
      <c r="AV780" s="2295"/>
      <c r="AW780" s="2295"/>
      <c r="AX780" s="2296"/>
      <c r="AY780" s="2289"/>
      <c r="AZ780" s="2289"/>
      <c r="BA780" s="2289"/>
      <c r="BB780" s="2289"/>
      <c r="BC780" s="2289"/>
      <c r="BD780" s="2289"/>
      <c r="BE780" s="2289"/>
      <c r="BF780" s="2289"/>
      <c r="BG780" s="2289"/>
      <c r="BH780" s="2289"/>
      <c r="BI780" s="2289"/>
      <c r="BJ780" s="2289"/>
      <c r="BK780" s="2289"/>
      <c r="BL780" s="2289"/>
      <c r="BM780" s="2289"/>
      <c r="BN780" s="2289"/>
      <c r="BO780" s="2289"/>
      <c r="BP780" s="2289"/>
      <c r="BQ780" s="2289"/>
      <c r="BR780" s="2289"/>
    </row>
    <row r="781" spans="1:70" ht="15.75" customHeight="1">
      <c r="A781" s="2289"/>
      <c r="B781" s="2289"/>
      <c r="C781" s="2289"/>
      <c r="D781" s="2289"/>
      <c r="E781" s="2289"/>
      <c r="F781" s="2289"/>
      <c r="G781" s="2290"/>
      <c r="H781" s="2289"/>
      <c r="I781" s="2289"/>
      <c r="J781" s="2290"/>
      <c r="K781" s="2289"/>
      <c r="L781" s="2289"/>
      <c r="M781" s="2290"/>
      <c r="N781" s="2290"/>
      <c r="O781" s="2290"/>
      <c r="P781" s="2290"/>
      <c r="Q781" s="2289"/>
      <c r="R781" s="2289"/>
      <c r="S781" s="2289"/>
      <c r="T781" s="2291"/>
      <c r="U781" s="2289"/>
      <c r="V781" s="2289"/>
      <c r="W781" s="2289"/>
      <c r="X781" s="2292"/>
      <c r="Y781" s="2292"/>
      <c r="Z781" s="2289"/>
      <c r="AA781" s="2289"/>
      <c r="AB781" s="2289"/>
      <c r="AC781" s="2289"/>
      <c r="AD781" s="2293"/>
      <c r="AE781" s="2293"/>
      <c r="AF781" s="2293"/>
      <c r="AG781" s="2293"/>
      <c r="AH781" s="2289"/>
      <c r="AI781" s="2289"/>
      <c r="AJ781" s="2294"/>
      <c r="AK781" s="2294"/>
      <c r="AL781" s="2289"/>
      <c r="AM781" s="2289"/>
      <c r="AN781" s="2289"/>
      <c r="AO781" s="2289"/>
      <c r="AP781" s="2289"/>
      <c r="AQ781" s="2289"/>
      <c r="AR781" s="2294"/>
      <c r="AS781" s="2294"/>
      <c r="AT781" s="2295"/>
      <c r="AU781" s="2295"/>
      <c r="AV781" s="2295"/>
      <c r="AW781" s="2295"/>
      <c r="AX781" s="2296"/>
      <c r="AY781" s="2289"/>
      <c r="AZ781" s="2289"/>
      <c r="BA781" s="2289"/>
      <c r="BB781" s="2289"/>
      <c r="BC781" s="2289"/>
      <c r="BD781" s="2289"/>
      <c r="BE781" s="2289"/>
      <c r="BF781" s="2289"/>
      <c r="BG781" s="2289"/>
      <c r="BH781" s="2289"/>
      <c r="BI781" s="2289"/>
      <c r="BJ781" s="2289"/>
      <c r="BK781" s="2289"/>
      <c r="BL781" s="2289"/>
      <c r="BM781" s="2289"/>
      <c r="BN781" s="2289"/>
      <c r="BO781" s="2289"/>
      <c r="BP781" s="2289"/>
      <c r="BQ781" s="2289"/>
      <c r="BR781" s="2289"/>
    </row>
    <row r="782" spans="1:70" ht="15.75" customHeight="1">
      <c r="A782" s="2289"/>
      <c r="B782" s="2289"/>
      <c r="C782" s="2289"/>
      <c r="D782" s="2289"/>
      <c r="E782" s="2289"/>
      <c r="F782" s="2289"/>
      <c r="G782" s="2290"/>
      <c r="H782" s="2289"/>
      <c r="I782" s="2289"/>
      <c r="J782" s="2290"/>
      <c r="K782" s="2289"/>
      <c r="L782" s="2289"/>
      <c r="M782" s="2290"/>
      <c r="N782" s="2290"/>
      <c r="O782" s="2290"/>
      <c r="P782" s="2290"/>
      <c r="Q782" s="2289"/>
      <c r="R782" s="2289"/>
      <c r="S782" s="2289"/>
      <c r="T782" s="2291"/>
      <c r="U782" s="2289"/>
      <c r="V782" s="2289"/>
      <c r="W782" s="2289"/>
      <c r="X782" s="2292"/>
      <c r="Y782" s="2292"/>
      <c r="Z782" s="2289"/>
      <c r="AA782" s="2289"/>
      <c r="AB782" s="2289"/>
      <c r="AC782" s="2289"/>
      <c r="AD782" s="2293"/>
      <c r="AE782" s="2293"/>
      <c r="AF782" s="2293"/>
      <c r="AG782" s="2293"/>
      <c r="AH782" s="2289"/>
      <c r="AI782" s="2289"/>
      <c r="AJ782" s="2294"/>
      <c r="AK782" s="2294"/>
      <c r="AL782" s="2289"/>
      <c r="AM782" s="2289"/>
      <c r="AN782" s="2289"/>
      <c r="AO782" s="2289"/>
      <c r="AP782" s="2289"/>
      <c r="AQ782" s="2289"/>
      <c r="AR782" s="2294"/>
      <c r="AS782" s="2294"/>
      <c r="AT782" s="2295"/>
      <c r="AU782" s="2295"/>
      <c r="AV782" s="2295"/>
      <c r="AW782" s="2295"/>
      <c r="AX782" s="2296"/>
      <c r="AY782" s="2289"/>
      <c r="AZ782" s="2289"/>
      <c r="BA782" s="2289"/>
      <c r="BB782" s="2289"/>
      <c r="BC782" s="2289"/>
      <c r="BD782" s="2289"/>
      <c r="BE782" s="2289"/>
      <c r="BF782" s="2289"/>
      <c r="BG782" s="2289"/>
      <c r="BH782" s="2289"/>
      <c r="BI782" s="2289"/>
      <c r="BJ782" s="2289"/>
      <c r="BK782" s="2289"/>
      <c r="BL782" s="2289"/>
      <c r="BM782" s="2289"/>
      <c r="BN782" s="2289"/>
      <c r="BO782" s="2289"/>
      <c r="BP782" s="2289"/>
      <c r="BQ782" s="2289"/>
      <c r="BR782" s="2289"/>
    </row>
    <row r="783" spans="1:70" ht="15.75" customHeight="1">
      <c r="A783" s="2289"/>
      <c r="B783" s="2289"/>
      <c r="C783" s="2289"/>
      <c r="D783" s="2289"/>
      <c r="E783" s="2289"/>
      <c r="F783" s="2289"/>
      <c r="G783" s="2290"/>
      <c r="H783" s="2289"/>
      <c r="I783" s="2289"/>
      <c r="J783" s="2290"/>
      <c r="K783" s="2289"/>
      <c r="L783" s="2289"/>
      <c r="M783" s="2290"/>
      <c r="N783" s="2290"/>
      <c r="O783" s="2290"/>
      <c r="P783" s="2290"/>
      <c r="Q783" s="2289"/>
      <c r="R783" s="2289"/>
      <c r="S783" s="2289"/>
      <c r="T783" s="2291"/>
      <c r="U783" s="2289"/>
      <c r="V783" s="2289"/>
      <c r="W783" s="2289"/>
      <c r="X783" s="2292"/>
      <c r="Y783" s="2292"/>
      <c r="Z783" s="2289"/>
      <c r="AA783" s="2289"/>
      <c r="AB783" s="2289"/>
      <c r="AC783" s="2289"/>
      <c r="AD783" s="2293"/>
      <c r="AE783" s="2293"/>
      <c r="AF783" s="2293"/>
      <c r="AG783" s="2293"/>
      <c r="AH783" s="2289"/>
      <c r="AI783" s="2289"/>
      <c r="AJ783" s="2294"/>
      <c r="AK783" s="2294"/>
      <c r="AL783" s="2289"/>
      <c r="AM783" s="2289"/>
      <c r="AN783" s="2289"/>
      <c r="AO783" s="2289"/>
      <c r="AP783" s="2289"/>
      <c r="AQ783" s="2289"/>
      <c r="AR783" s="2294"/>
      <c r="AS783" s="2294"/>
      <c r="AT783" s="2295"/>
      <c r="AU783" s="2295"/>
      <c r="AV783" s="2295"/>
      <c r="AW783" s="2295"/>
      <c r="AX783" s="2296"/>
      <c r="AY783" s="2289"/>
      <c r="AZ783" s="2289"/>
      <c r="BA783" s="2289"/>
      <c r="BB783" s="2289"/>
      <c r="BC783" s="2289"/>
      <c r="BD783" s="2289"/>
      <c r="BE783" s="2289"/>
      <c r="BF783" s="2289"/>
      <c r="BG783" s="2289"/>
      <c r="BH783" s="2289"/>
      <c r="BI783" s="2289"/>
      <c r="BJ783" s="2289"/>
      <c r="BK783" s="2289"/>
      <c r="BL783" s="2289"/>
      <c r="BM783" s="2289"/>
      <c r="BN783" s="2289"/>
      <c r="BO783" s="2289"/>
      <c r="BP783" s="2289"/>
      <c r="BQ783" s="2289"/>
      <c r="BR783" s="2289"/>
    </row>
    <row r="784" spans="1:70" ht="15.75" customHeight="1">
      <c r="A784" s="2289"/>
      <c r="B784" s="2289"/>
      <c r="C784" s="2289"/>
      <c r="D784" s="2289"/>
      <c r="E784" s="2289"/>
      <c r="F784" s="2289"/>
      <c r="G784" s="2290"/>
      <c r="H784" s="2289"/>
      <c r="I784" s="2289"/>
      <c r="J784" s="2290"/>
      <c r="K784" s="2289"/>
      <c r="L784" s="2289"/>
      <c r="M784" s="2290"/>
      <c r="N784" s="2290"/>
      <c r="O784" s="2290"/>
      <c r="P784" s="2290"/>
      <c r="Q784" s="2289"/>
      <c r="R784" s="2289"/>
      <c r="S784" s="2289"/>
      <c r="T784" s="2291"/>
      <c r="U784" s="2289"/>
      <c r="V784" s="2289"/>
      <c r="W784" s="2289"/>
      <c r="X784" s="2292"/>
      <c r="Y784" s="2292"/>
      <c r="Z784" s="2289"/>
      <c r="AA784" s="2289"/>
      <c r="AB784" s="2289"/>
      <c r="AC784" s="2289"/>
      <c r="AD784" s="2293"/>
      <c r="AE784" s="2293"/>
      <c r="AF784" s="2293"/>
      <c r="AG784" s="2293"/>
      <c r="AH784" s="2289"/>
      <c r="AI784" s="2289"/>
      <c r="AJ784" s="2294"/>
      <c r="AK784" s="2294"/>
      <c r="AL784" s="2289"/>
      <c r="AM784" s="2289"/>
      <c r="AN784" s="2289"/>
      <c r="AO784" s="2289"/>
      <c r="AP784" s="2289"/>
      <c r="AQ784" s="2289"/>
      <c r="AR784" s="2294"/>
      <c r="AS784" s="2294"/>
      <c r="AT784" s="2295"/>
      <c r="AU784" s="2295"/>
      <c r="AV784" s="2295"/>
      <c r="AW784" s="2295"/>
      <c r="AX784" s="2296"/>
      <c r="AY784" s="2289"/>
      <c r="AZ784" s="2289"/>
      <c r="BA784" s="2289"/>
      <c r="BB784" s="2289"/>
      <c r="BC784" s="2289"/>
      <c r="BD784" s="2289"/>
      <c r="BE784" s="2289"/>
      <c r="BF784" s="2289"/>
      <c r="BG784" s="2289"/>
      <c r="BH784" s="2289"/>
      <c r="BI784" s="2289"/>
      <c r="BJ784" s="2289"/>
      <c r="BK784" s="2289"/>
      <c r="BL784" s="2289"/>
      <c r="BM784" s="2289"/>
      <c r="BN784" s="2289"/>
      <c r="BO784" s="2289"/>
      <c r="BP784" s="2289"/>
      <c r="BQ784" s="2289"/>
      <c r="BR784" s="2289"/>
    </row>
    <row r="785" spans="1:70" ht="15.75" customHeight="1">
      <c r="A785" s="2289"/>
      <c r="B785" s="2289"/>
      <c r="C785" s="2289"/>
      <c r="D785" s="2289"/>
      <c r="E785" s="2289"/>
      <c r="F785" s="2289"/>
      <c r="G785" s="2290"/>
      <c r="H785" s="2289"/>
      <c r="I785" s="2289"/>
      <c r="J785" s="2290"/>
      <c r="K785" s="2289"/>
      <c r="L785" s="2289"/>
      <c r="M785" s="2290"/>
      <c r="N785" s="2290"/>
      <c r="O785" s="2290"/>
      <c r="P785" s="2290"/>
      <c r="Q785" s="2289"/>
      <c r="R785" s="2289"/>
      <c r="S785" s="2289"/>
      <c r="T785" s="2291"/>
      <c r="U785" s="2289"/>
      <c r="V785" s="2289"/>
      <c r="W785" s="2289"/>
      <c r="X785" s="2292"/>
      <c r="Y785" s="2292"/>
      <c r="Z785" s="2289"/>
      <c r="AA785" s="2289"/>
      <c r="AB785" s="2289"/>
      <c r="AC785" s="2289"/>
      <c r="AD785" s="2293"/>
      <c r="AE785" s="2293"/>
      <c r="AF785" s="2293"/>
      <c r="AG785" s="2293"/>
      <c r="AH785" s="2289"/>
      <c r="AI785" s="2289"/>
      <c r="AJ785" s="2294"/>
      <c r="AK785" s="2294"/>
      <c r="AL785" s="2289"/>
      <c r="AM785" s="2289"/>
      <c r="AN785" s="2289"/>
      <c r="AO785" s="2289"/>
      <c r="AP785" s="2289"/>
      <c r="AQ785" s="2289"/>
      <c r="AR785" s="2294"/>
      <c r="AS785" s="2294"/>
      <c r="AT785" s="2295"/>
      <c r="AU785" s="2295"/>
      <c r="AV785" s="2295"/>
      <c r="AW785" s="2295"/>
      <c r="AX785" s="2296"/>
      <c r="AY785" s="2289"/>
      <c r="AZ785" s="2289"/>
      <c r="BA785" s="2289"/>
      <c r="BB785" s="2289"/>
      <c r="BC785" s="2289"/>
      <c r="BD785" s="2289"/>
      <c r="BE785" s="2289"/>
      <c r="BF785" s="2289"/>
      <c r="BG785" s="2289"/>
      <c r="BH785" s="2289"/>
      <c r="BI785" s="2289"/>
      <c r="BJ785" s="2289"/>
      <c r="BK785" s="2289"/>
      <c r="BL785" s="2289"/>
      <c r="BM785" s="2289"/>
      <c r="BN785" s="2289"/>
      <c r="BO785" s="2289"/>
      <c r="BP785" s="2289"/>
      <c r="BQ785" s="2289"/>
      <c r="BR785" s="2289"/>
    </row>
    <row r="786" spans="1:70" ht="15.75" customHeight="1">
      <c r="A786" s="2289"/>
      <c r="B786" s="2289"/>
      <c r="C786" s="2289"/>
      <c r="D786" s="2289"/>
      <c r="E786" s="2289"/>
      <c r="F786" s="2289"/>
      <c r="G786" s="2290"/>
      <c r="H786" s="2289"/>
      <c r="I786" s="2289"/>
      <c r="J786" s="2290"/>
      <c r="K786" s="2289"/>
      <c r="L786" s="2289"/>
      <c r="M786" s="2290"/>
      <c r="N786" s="2290"/>
      <c r="O786" s="2290"/>
      <c r="P786" s="2290"/>
      <c r="Q786" s="2289"/>
      <c r="R786" s="2289"/>
      <c r="S786" s="2289"/>
      <c r="T786" s="2291"/>
      <c r="U786" s="2289"/>
      <c r="V786" s="2289"/>
      <c r="W786" s="2289"/>
      <c r="X786" s="2292"/>
      <c r="Y786" s="2292"/>
      <c r="Z786" s="2289"/>
      <c r="AA786" s="2289"/>
      <c r="AB786" s="2289"/>
      <c r="AC786" s="2289"/>
      <c r="AD786" s="2293"/>
      <c r="AE786" s="2293"/>
      <c r="AF786" s="2293"/>
      <c r="AG786" s="2293"/>
      <c r="AH786" s="2289"/>
      <c r="AI786" s="2289"/>
      <c r="AJ786" s="2294"/>
      <c r="AK786" s="2294"/>
      <c r="AL786" s="2289"/>
      <c r="AM786" s="2289"/>
      <c r="AN786" s="2289"/>
      <c r="AO786" s="2289"/>
      <c r="AP786" s="2289"/>
      <c r="AQ786" s="2289"/>
      <c r="AR786" s="2294"/>
      <c r="AS786" s="2294"/>
      <c r="AT786" s="2295"/>
      <c r="AU786" s="2295"/>
      <c r="AV786" s="2295"/>
      <c r="AW786" s="2295"/>
      <c r="AX786" s="2296"/>
      <c r="AY786" s="2289"/>
      <c r="AZ786" s="2289"/>
      <c r="BA786" s="2289"/>
      <c r="BB786" s="2289"/>
      <c r="BC786" s="2289"/>
      <c r="BD786" s="2289"/>
      <c r="BE786" s="2289"/>
      <c r="BF786" s="2289"/>
      <c r="BG786" s="2289"/>
      <c r="BH786" s="2289"/>
      <c r="BI786" s="2289"/>
      <c r="BJ786" s="2289"/>
      <c r="BK786" s="2289"/>
      <c r="BL786" s="2289"/>
      <c r="BM786" s="2289"/>
      <c r="BN786" s="2289"/>
      <c r="BO786" s="2289"/>
      <c r="BP786" s="2289"/>
      <c r="BQ786" s="2289"/>
      <c r="BR786" s="2289"/>
    </row>
    <row r="787" spans="1:70" ht="15.75" customHeight="1">
      <c r="A787" s="2289"/>
      <c r="B787" s="2289"/>
      <c r="C787" s="2289"/>
      <c r="D787" s="2289"/>
      <c r="E787" s="2289"/>
      <c r="F787" s="2289"/>
      <c r="G787" s="2290"/>
      <c r="H787" s="2289"/>
      <c r="I787" s="2289"/>
      <c r="J787" s="2290"/>
      <c r="K787" s="2289"/>
      <c r="L787" s="2289"/>
      <c r="M787" s="2290"/>
      <c r="N787" s="2290"/>
      <c r="O787" s="2290"/>
      <c r="P787" s="2290"/>
      <c r="Q787" s="2289"/>
      <c r="R787" s="2289"/>
      <c r="S787" s="2289"/>
      <c r="T787" s="2291"/>
      <c r="U787" s="2289"/>
      <c r="V787" s="2289"/>
      <c r="W787" s="2289"/>
      <c r="X787" s="2292"/>
      <c r="Y787" s="2292"/>
      <c r="Z787" s="2289"/>
      <c r="AA787" s="2289"/>
      <c r="AB787" s="2289"/>
      <c r="AC787" s="2289"/>
      <c r="AD787" s="2293"/>
      <c r="AE787" s="2293"/>
      <c r="AF787" s="2293"/>
      <c r="AG787" s="2293"/>
      <c r="AH787" s="2289"/>
      <c r="AI787" s="2289"/>
      <c r="AJ787" s="2294"/>
      <c r="AK787" s="2294"/>
      <c r="AL787" s="2289"/>
      <c r="AM787" s="2289"/>
      <c r="AN787" s="2289"/>
      <c r="AO787" s="2289"/>
      <c r="AP787" s="2289"/>
      <c r="AQ787" s="2289"/>
      <c r="AR787" s="2294"/>
      <c r="AS787" s="2294"/>
      <c r="AT787" s="2295"/>
      <c r="AU787" s="2295"/>
      <c r="AV787" s="2295"/>
      <c r="AW787" s="2295"/>
      <c r="AX787" s="2296"/>
      <c r="AY787" s="2289"/>
      <c r="AZ787" s="2289"/>
      <c r="BA787" s="2289"/>
      <c r="BB787" s="2289"/>
      <c r="BC787" s="2289"/>
      <c r="BD787" s="2289"/>
      <c r="BE787" s="2289"/>
      <c r="BF787" s="2289"/>
      <c r="BG787" s="2289"/>
      <c r="BH787" s="2289"/>
      <c r="BI787" s="2289"/>
      <c r="BJ787" s="2289"/>
      <c r="BK787" s="2289"/>
      <c r="BL787" s="2289"/>
      <c r="BM787" s="2289"/>
      <c r="BN787" s="2289"/>
      <c r="BO787" s="2289"/>
      <c r="BP787" s="2289"/>
      <c r="BQ787" s="2289"/>
      <c r="BR787" s="2289"/>
    </row>
    <row r="788" spans="1:70" ht="15.75" customHeight="1">
      <c r="A788" s="2289"/>
      <c r="B788" s="2289"/>
      <c r="C788" s="2289"/>
      <c r="D788" s="2289"/>
      <c r="E788" s="2289"/>
      <c r="F788" s="2289"/>
      <c r="G788" s="2290"/>
      <c r="H788" s="2289"/>
      <c r="I788" s="2289"/>
      <c r="J788" s="2290"/>
      <c r="K788" s="2289"/>
      <c r="L788" s="2289"/>
      <c r="M788" s="2290"/>
      <c r="N788" s="2290"/>
      <c r="O788" s="2290"/>
      <c r="P788" s="2290"/>
      <c r="Q788" s="2289"/>
      <c r="R788" s="2289"/>
      <c r="S788" s="2289"/>
      <c r="T788" s="2291"/>
      <c r="U788" s="2289"/>
      <c r="V788" s="2289"/>
      <c r="W788" s="2289"/>
      <c r="X788" s="2292"/>
      <c r="Y788" s="2292"/>
      <c r="Z788" s="2289"/>
      <c r="AA788" s="2289"/>
      <c r="AB788" s="2289"/>
      <c r="AC788" s="2289"/>
      <c r="AD788" s="2293"/>
      <c r="AE788" s="2293"/>
      <c r="AF788" s="2293"/>
      <c r="AG788" s="2293"/>
      <c r="AH788" s="2289"/>
      <c r="AI788" s="2289"/>
      <c r="AJ788" s="2294"/>
      <c r="AK788" s="2294"/>
      <c r="AL788" s="2289"/>
      <c r="AM788" s="2289"/>
      <c r="AN788" s="2289"/>
      <c r="AO788" s="2289"/>
      <c r="AP788" s="2289"/>
      <c r="AQ788" s="2289"/>
      <c r="AR788" s="2294"/>
      <c r="AS788" s="2294"/>
      <c r="AT788" s="2295"/>
      <c r="AU788" s="2295"/>
      <c r="AV788" s="2295"/>
      <c r="AW788" s="2295"/>
      <c r="AX788" s="2296"/>
      <c r="AY788" s="2289"/>
      <c r="AZ788" s="2289"/>
      <c r="BA788" s="2289"/>
      <c r="BB788" s="2289"/>
      <c r="BC788" s="2289"/>
      <c r="BD788" s="2289"/>
      <c r="BE788" s="2289"/>
      <c r="BF788" s="2289"/>
      <c r="BG788" s="2289"/>
      <c r="BH788" s="2289"/>
      <c r="BI788" s="2289"/>
      <c r="BJ788" s="2289"/>
      <c r="BK788" s="2289"/>
      <c r="BL788" s="2289"/>
      <c r="BM788" s="2289"/>
      <c r="BN788" s="2289"/>
      <c r="BO788" s="2289"/>
      <c r="BP788" s="2289"/>
      <c r="BQ788" s="2289"/>
      <c r="BR788" s="2289"/>
    </row>
    <row r="789" spans="1:70" ht="15.75" customHeight="1">
      <c r="A789" s="2289"/>
      <c r="B789" s="2289"/>
      <c r="C789" s="2289"/>
      <c r="D789" s="2289"/>
      <c r="E789" s="2289"/>
      <c r="F789" s="2289"/>
      <c r="G789" s="2290"/>
      <c r="H789" s="2289"/>
      <c r="I789" s="2289"/>
      <c r="J789" s="2290"/>
      <c r="K789" s="2289"/>
      <c r="L789" s="2289"/>
      <c r="M789" s="2290"/>
      <c r="N789" s="2290"/>
      <c r="O789" s="2290"/>
      <c r="P789" s="2290"/>
      <c r="Q789" s="2289"/>
      <c r="R789" s="2289"/>
      <c r="S789" s="2289"/>
      <c r="T789" s="2291"/>
      <c r="U789" s="2289"/>
      <c r="V789" s="2289"/>
      <c r="W789" s="2289"/>
      <c r="X789" s="2292"/>
      <c r="Y789" s="2292"/>
      <c r="Z789" s="2289"/>
      <c r="AA789" s="2289"/>
      <c r="AB789" s="2289"/>
      <c r="AC789" s="2289"/>
      <c r="AD789" s="2293"/>
      <c r="AE789" s="2293"/>
      <c r="AF789" s="2293"/>
      <c r="AG789" s="2293"/>
      <c r="AH789" s="2289"/>
      <c r="AI789" s="2289"/>
      <c r="AJ789" s="2294"/>
      <c r="AK789" s="2294"/>
      <c r="AL789" s="2289"/>
      <c r="AM789" s="2289"/>
      <c r="AN789" s="2289"/>
      <c r="AO789" s="2289"/>
      <c r="AP789" s="2289"/>
      <c r="AQ789" s="2289"/>
      <c r="AR789" s="2294"/>
      <c r="AS789" s="2294"/>
      <c r="AT789" s="2295"/>
      <c r="AU789" s="2295"/>
      <c r="AV789" s="2295"/>
      <c r="AW789" s="2295"/>
      <c r="AX789" s="2296"/>
      <c r="AY789" s="2289"/>
      <c r="AZ789" s="2289"/>
      <c r="BA789" s="2289"/>
      <c r="BB789" s="2289"/>
      <c r="BC789" s="2289"/>
      <c r="BD789" s="2289"/>
      <c r="BE789" s="2289"/>
      <c r="BF789" s="2289"/>
      <c r="BG789" s="2289"/>
      <c r="BH789" s="2289"/>
      <c r="BI789" s="2289"/>
      <c r="BJ789" s="2289"/>
      <c r="BK789" s="2289"/>
      <c r="BL789" s="2289"/>
      <c r="BM789" s="2289"/>
      <c r="BN789" s="2289"/>
      <c r="BO789" s="2289"/>
      <c r="BP789" s="2289"/>
      <c r="BQ789" s="2289"/>
      <c r="BR789" s="2289"/>
    </row>
    <row r="790" spans="1:70" ht="15.75" customHeight="1">
      <c r="A790" s="2289"/>
      <c r="B790" s="2289"/>
      <c r="C790" s="2289"/>
      <c r="D790" s="2289"/>
      <c r="E790" s="2289"/>
      <c r="F790" s="2289"/>
      <c r="G790" s="2290"/>
      <c r="H790" s="2289"/>
      <c r="I790" s="2289"/>
      <c r="J790" s="2290"/>
      <c r="K790" s="2289"/>
      <c r="L790" s="2289"/>
      <c r="M790" s="2290"/>
      <c r="N790" s="2290"/>
      <c r="O790" s="2290"/>
      <c r="P790" s="2290"/>
      <c r="Q790" s="2289"/>
      <c r="R790" s="2289"/>
      <c r="S790" s="2289"/>
      <c r="T790" s="2291"/>
      <c r="U790" s="2289"/>
      <c r="V790" s="2289"/>
      <c r="W790" s="2289"/>
      <c r="X790" s="2292"/>
      <c r="Y790" s="2292"/>
      <c r="Z790" s="2289"/>
      <c r="AA790" s="2289"/>
      <c r="AB790" s="2289"/>
      <c r="AC790" s="2289"/>
      <c r="AD790" s="2293"/>
      <c r="AE790" s="2293"/>
      <c r="AF790" s="2293"/>
      <c r="AG790" s="2293"/>
      <c r="AH790" s="2289"/>
      <c r="AI790" s="2289"/>
      <c r="AJ790" s="2294"/>
      <c r="AK790" s="2294"/>
      <c r="AL790" s="2289"/>
      <c r="AM790" s="2289"/>
      <c r="AN790" s="2289"/>
      <c r="AO790" s="2289"/>
      <c r="AP790" s="2289"/>
      <c r="AQ790" s="2289"/>
      <c r="AR790" s="2294"/>
      <c r="AS790" s="2294"/>
      <c r="AT790" s="2295"/>
      <c r="AU790" s="2295"/>
      <c r="AV790" s="2295"/>
      <c r="AW790" s="2295"/>
      <c r="AX790" s="2296"/>
      <c r="AY790" s="2289"/>
      <c r="AZ790" s="2289"/>
      <c r="BA790" s="2289"/>
      <c r="BB790" s="2289"/>
      <c r="BC790" s="2289"/>
      <c r="BD790" s="2289"/>
      <c r="BE790" s="2289"/>
      <c r="BF790" s="2289"/>
      <c r="BG790" s="2289"/>
      <c r="BH790" s="2289"/>
      <c r="BI790" s="2289"/>
      <c r="BJ790" s="2289"/>
      <c r="BK790" s="2289"/>
      <c r="BL790" s="2289"/>
      <c r="BM790" s="2289"/>
      <c r="BN790" s="2289"/>
      <c r="BO790" s="2289"/>
      <c r="BP790" s="2289"/>
      <c r="BQ790" s="2289"/>
      <c r="BR790" s="2289"/>
    </row>
    <row r="791" spans="1:70" ht="15.75" customHeight="1">
      <c r="A791" s="2289"/>
      <c r="B791" s="2289"/>
      <c r="C791" s="2289"/>
      <c r="D791" s="2289"/>
      <c r="E791" s="2289"/>
      <c r="F791" s="2289"/>
      <c r="G791" s="2290"/>
      <c r="H791" s="2289"/>
      <c r="I791" s="2289"/>
      <c r="J791" s="2290"/>
      <c r="K791" s="2289"/>
      <c r="L791" s="2289"/>
      <c r="M791" s="2290"/>
      <c r="N791" s="2290"/>
      <c r="O791" s="2290"/>
      <c r="P791" s="2290"/>
      <c r="Q791" s="2289"/>
      <c r="R791" s="2289"/>
      <c r="S791" s="2289"/>
      <c r="T791" s="2291"/>
      <c r="U791" s="2289"/>
      <c r="V791" s="2289"/>
      <c r="W791" s="2289"/>
      <c r="X791" s="2292"/>
      <c r="Y791" s="2292"/>
      <c r="Z791" s="2289"/>
      <c r="AA791" s="2289"/>
      <c r="AB791" s="2289"/>
      <c r="AC791" s="2289"/>
      <c r="AD791" s="2293"/>
      <c r="AE791" s="2293"/>
      <c r="AF791" s="2293"/>
      <c r="AG791" s="2293"/>
      <c r="AH791" s="2289"/>
      <c r="AI791" s="2289"/>
      <c r="AJ791" s="2294"/>
      <c r="AK791" s="2294"/>
      <c r="AL791" s="2289"/>
      <c r="AM791" s="2289"/>
      <c r="AN791" s="2289"/>
      <c r="AO791" s="2289"/>
      <c r="AP791" s="2289"/>
      <c r="AQ791" s="2289"/>
      <c r="AR791" s="2294"/>
      <c r="AS791" s="2294"/>
      <c r="AT791" s="2295"/>
      <c r="AU791" s="2295"/>
      <c r="AV791" s="2295"/>
      <c r="AW791" s="2295"/>
      <c r="AX791" s="2296"/>
      <c r="AY791" s="2289"/>
      <c r="AZ791" s="2289"/>
      <c r="BA791" s="2289"/>
      <c r="BB791" s="2289"/>
      <c r="BC791" s="2289"/>
      <c r="BD791" s="2289"/>
      <c r="BE791" s="2289"/>
      <c r="BF791" s="2289"/>
      <c r="BG791" s="2289"/>
      <c r="BH791" s="2289"/>
      <c r="BI791" s="2289"/>
      <c r="BJ791" s="2289"/>
      <c r="BK791" s="2289"/>
      <c r="BL791" s="2289"/>
      <c r="BM791" s="2289"/>
      <c r="BN791" s="2289"/>
      <c r="BO791" s="2289"/>
      <c r="BP791" s="2289"/>
      <c r="BQ791" s="2289"/>
      <c r="BR791" s="2289"/>
    </row>
    <row r="792" spans="1:70" ht="15.75" customHeight="1">
      <c r="A792" s="2289"/>
      <c r="B792" s="2289"/>
      <c r="C792" s="2289"/>
      <c r="D792" s="2289"/>
      <c r="E792" s="2289"/>
      <c r="F792" s="2289"/>
      <c r="G792" s="2290"/>
      <c r="H792" s="2289"/>
      <c r="I792" s="2289"/>
      <c r="J792" s="2290"/>
      <c r="K792" s="2289"/>
      <c r="L792" s="2289"/>
      <c r="M792" s="2290"/>
      <c r="N792" s="2290"/>
      <c r="O792" s="2290"/>
      <c r="P792" s="2290"/>
      <c r="Q792" s="2289"/>
      <c r="R792" s="2289"/>
      <c r="S792" s="2289"/>
      <c r="T792" s="2291"/>
      <c r="U792" s="2289"/>
      <c r="V792" s="2289"/>
      <c r="W792" s="2289"/>
      <c r="X792" s="2292"/>
      <c r="Y792" s="2292"/>
      <c r="Z792" s="2289"/>
      <c r="AA792" s="2289"/>
      <c r="AB792" s="2289"/>
      <c r="AC792" s="2289"/>
      <c r="AD792" s="2293"/>
      <c r="AE792" s="2293"/>
      <c r="AF792" s="2293"/>
      <c r="AG792" s="2293"/>
      <c r="AH792" s="2289"/>
      <c r="AI792" s="2289"/>
      <c r="AJ792" s="2294"/>
      <c r="AK792" s="2294"/>
      <c r="AL792" s="2289"/>
      <c r="AM792" s="2289"/>
      <c r="AN792" s="2289"/>
      <c r="AO792" s="2289"/>
      <c r="AP792" s="2289"/>
      <c r="AQ792" s="2289"/>
      <c r="AR792" s="2294"/>
      <c r="AS792" s="2294"/>
      <c r="AT792" s="2295"/>
      <c r="AU792" s="2295"/>
      <c r="AV792" s="2295"/>
      <c r="AW792" s="2295"/>
      <c r="AX792" s="2296"/>
      <c r="AY792" s="2289"/>
      <c r="AZ792" s="2289"/>
      <c r="BA792" s="2289"/>
      <c r="BB792" s="2289"/>
      <c r="BC792" s="2289"/>
      <c r="BD792" s="2289"/>
      <c r="BE792" s="2289"/>
      <c r="BF792" s="2289"/>
      <c r="BG792" s="2289"/>
      <c r="BH792" s="2289"/>
      <c r="BI792" s="2289"/>
      <c r="BJ792" s="2289"/>
      <c r="BK792" s="2289"/>
      <c r="BL792" s="2289"/>
      <c r="BM792" s="2289"/>
      <c r="BN792" s="2289"/>
      <c r="BO792" s="2289"/>
      <c r="BP792" s="2289"/>
      <c r="BQ792" s="2289"/>
      <c r="BR792" s="2289"/>
    </row>
    <row r="793" spans="1:70" ht="15.75" customHeight="1">
      <c r="A793" s="2289"/>
      <c r="B793" s="2289"/>
      <c r="C793" s="2289"/>
      <c r="D793" s="2289"/>
      <c r="E793" s="2289"/>
      <c r="F793" s="2289"/>
      <c r="G793" s="2290"/>
      <c r="H793" s="2289"/>
      <c r="I793" s="2289"/>
      <c r="J793" s="2290"/>
      <c r="K793" s="2289"/>
      <c r="L793" s="2289"/>
      <c r="M793" s="2290"/>
      <c r="N793" s="2290"/>
      <c r="O793" s="2290"/>
      <c r="P793" s="2290"/>
      <c r="Q793" s="2289"/>
      <c r="R793" s="2289"/>
      <c r="S793" s="2289"/>
      <c r="T793" s="2291"/>
      <c r="U793" s="2289"/>
      <c r="V793" s="2289"/>
      <c r="W793" s="2289"/>
      <c r="X793" s="2292"/>
      <c r="Y793" s="2292"/>
      <c r="Z793" s="2289"/>
      <c r="AA793" s="2289"/>
      <c r="AB793" s="2289"/>
      <c r="AC793" s="2289"/>
      <c r="AD793" s="2293"/>
      <c r="AE793" s="2293"/>
      <c r="AF793" s="2293"/>
      <c r="AG793" s="2293"/>
      <c r="AH793" s="2289"/>
      <c r="AI793" s="2289"/>
      <c r="AJ793" s="2294"/>
      <c r="AK793" s="2294"/>
      <c r="AL793" s="2289"/>
      <c r="AM793" s="2289"/>
      <c r="AN793" s="2289"/>
      <c r="AO793" s="2289"/>
      <c r="AP793" s="2289"/>
      <c r="AQ793" s="2289"/>
      <c r="AR793" s="2294"/>
      <c r="AS793" s="2294"/>
      <c r="AT793" s="2295"/>
      <c r="AU793" s="2295"/>
      <c r="AV793" s="2295"/>
      <c r="AW793" s="2295"/>
      <c r="AX793" s="2296"/>
      <c r="AY793" s="2289"/>
      <c r="AZ793" s="2289"/>
      <c r="BA793" s="2289"/>
      <c r="BB793" s="2289"/>
      <c r="BC793" s="2289"/>
      <c r="BD793" s="2289"/>
      <c r="BE793" s="2289"/>
      <c r="BF793" s="2289"/>
      <c r="BG793" s="2289"/>
      <c r="BH793" s="2289"/>
      <c r="BI793" s="2289"/>
      <c r="BJ793" s="2289"/>
      <c r="BK793" s="2289"/>
      <c r="BL793" s="2289"/>
      <c r="BM793" s="2289"/>
      <c r="BN793" s="2289"/>
      <c r="BO793" s="2289"/>
      <c r="BP793" s="2289"/>
      <c r="BQ793" s="2289"/>
      <c r="BR793" s="2289"/>
    </row>
    <row r="794" spans="1:70" ht="15.75" customHeight="1">
      <c r="A794" s="2289"/>
      <c r="B794" s="2289"/>
      <c r="C794" s="2289"/>
      <c r="D794" s="2289"/>
      <c r="E794" s="2289"/>
      <c r="F794" s="2289"/>
      <c r="G794" s="2290"/>
      <c r="H794" s="2289"/>
      <c r="I794" s="2289"/>
      <c r="J794" s="2290"/>
      <c r="K794" s="2289"/>
      <c r="L794" s="2289"/>
      <c r="M794" s="2290"/>
      <c r="N794" s="2290"/>
      <c r="O794" s="2290"/>
      <c r="P794" s="2290"/>
      <c r="Q794" s="2289"/>
      <c r="R794" s="2289"/>
      <c r="S794" s="2289"/>
      <c r="T794" s="2291"/>
      <c r="U794" s="2289"/>
      <c r="V794" s="2289"/>
      <c r="W794" s="2289"/>
      <c r="X794" s="2292"/>
      <c r="Y794" s="2292"/>
      <c r="Z794" s="2289"/>
      <c r="AA794" s="2289"/>
      <c r="AB794" s="2289"/>
      <c r="AC794" s="2289"/>
      <c r="AD794" s="2293"/>
      <c r="AE794" s="2293"/>
      <c r="AF794" s="2293"/>
      <c r="AG794" s="2293"/>
      <c r="AH794" s="2289"/>
      <c r="AI794" s="2289"/>
      <c r="AJ794" s="2294"/>
      <c r="AK794" s="2294"/>
      <c r="AL794" s="2289"/>
      <c r="AM794" s="2289"/>
      <c r="AN794" s="2289"/>
      <c r="AO794" s="2289"/>
      <c r="AP794" s="2289"/>
      <c r="AQ794" s="2289"/>
      <c r="AR794" s="2294"/>
      <c r="AS794" s="2294"/>
      <c r="AT794" s="2295"/>
      <c r="AU794" s="2295"/>
      <c r="AV794" s="2295"/>
      <c r="AW794" s="2295"/>
      <c r="AX794" s="2296"/>
      <c r="AY794" s="2289"/>
      <c r="AZ794" s="2289"/>
      <c r="BA794" s="2289"/>
      <c r="BB794" s="2289"/>
      <c r="BC794" s="2289"/>
      <c r="BD794" s="2289"/>
      <c r="BE794" s="2289"/>
      <c r="BF794" s="2289"/>
      <c r="BG794" s="2289"/>
      <c r="BH794" s="2289"/>
      <c r="BI794" s="2289"/>
      <c r="BJ794" s="2289"/>
      <c r="BK794" s="2289"/>
      <c r="BL794" s="2289"/>
      <c r="BM794" s="2289"/>
      <c r="BN794" s="2289"/>
      <c r="BO794" s="2289"/>
      <c r="BP794" s="2289"/>
      <c r="BQ794" s="2289"/>
      <c r="BR794" s="2289"/>
    </row>
    <row r="795" spans="1:70" ht="15.75" customHeight="1">
      <c r="A795" s="2289"/>
      <c r="B795" s="2289"/>
      <c r="C795" s="2289"/>
      <c r="D795" s="2289"/>
      <c r="E795" s="2289"/>
      <c r="F795" s="2289"/>
      <c r="G795" s="2290"/>
      <c r="H795" s="2289"/>
      <c r="I795" s="2289"/>
      <c r="J795" s="2290"/>
      <c r="K795" s="2289"/>
      <c r="L795" s="2289"/>
      <c r="M795" s="2290"/>
      <c r="N795" s="2290"/>
      <c r="O795" s="2290"/>
      <c r="P795" s="2290"/>
      <c r="Q795" s="2289"/>
      <c r="R795" s="2289"/>
      <c r="S795" s="2289"/>
      <c r="T795" s="2291"/>
      <c r="U795" s="2289"/>
      <c r="V795" s="2289"/>
      <c r="W795" s="2289"/>
      <c r="X795" s="2292"/>
      <c r="Y795" s="2292"/>
      <c r="Z795" s="2289"/>
      <c r="AA795" s="2289"/>
      <c r="AB795" s="2289"/>
      <c r="AC795" s="2289"/>
      <c r="AD795" s="2293"/>
      <c r="AE795" s="2293"/>
      <c r="AF795" s="2293"/>
      <c r="AG795" s="2293"/>
      <c r="AH795" s="2289"/>
      <c r="AI795" s="2289"/>
      <c r="AJ795" s="2294"/>
      <c r="AK795" s="2294"/>
      <c r="AL795" s="2289"/>
      <c r="AM795" s="2289"/>
      <c r="AN795" s="2289"/>
      <c r="AO795" s="2289"/>
      <c r="AP795" s="2289"/>
      <c r="AQ795" s="2289"/>
      <c r="AR795" s="2294"/>
      <c r="AS795" s="2294"/>
      <c r="AT795" s="2295"/>
      <c r="AU795" s="2295"/>
      <c r="AV795" s="2295"/>
      <c r="AW795" s="2295"/>
      <c r="AX795" s="2296"/>
      <c r="AY795" s="2289"/>
      <c r="AZ795" s="2289"/>
      <c r="BA795" s="2289"/>
      <c r="BB795" s="2289"/>
      <c r="BC795" s="2289"/>
      <c r="BD795" s="2289"/>
      <c r="BE795" s="2289"/>
      <c r="BF795" s="2289"/>
      <c r="BG795" s="2289"/>
      <c r="BH795" s="2289"/>
      <c r="BI795" s="2289"/>
      <c r="BJ795" s="2289"/>
      <c r="BK795" s="2289"/>
      <c r="BL795" s="2289"/>
      <c r="BM795" s="2289"/>
      <c r="BN795" s="2289"/>
      <c r="BO795" s="2289"/>
      <c r="BP795" s="2289"/>
      <c r="BQ795" s="2289"/>
      <c r="BR795" s="2289"/>
    </row>
    <row r="796" spans="1:70" ht="15.75" customHeight="1">
      <c r="A796" s="2289"/>
      <c r="B796" s="2289"/>
      <c r="C796" s="2289"/>
      <c r="D796" s="2289"/>
      <c r="E796" s="2289"/>
      <c r="F796" s="2289"/>
      <c r="G796" s="2290"/>
      <c r="H796" s="2289"/>
      <c r="I796" s="2289"/>
      <c r="J796" s="2290"/>
      <c r="K796" s="2289"/>
      <c r="L796" s="2289"/>
      <c r="M796" s="2290"/>
      <c r="N796" s="2290"/>
      <c r="O796" s="2290"/>
      <c r="P796" s="2290"/>
      <c r="Q796" s="2289"/>
      <c r="R796" s="2289"/>
      <c r="S796" s="2289"/>
      <c r="T796" s="2291"/>
      <c r="U796" s="2289"/>
      <c r="V796" s="2289"/>
      <c r="W796" s="2289"/>
      <c r="X796" s="2292"/>
      <c r="Y796" s="2292"/>
      <c r="Z796" s="2289"/>
      <c r="AA796" s="2289"/>
      <c r="AB796" s="2289"/>
      <c r="AC796" s="2289"/>
      <c r="AD796" s="2293"/>
      <c r="AE796" s="2293"/>
      <c r="AF796" s="2293"/>
      <c r="AG796" s="2293"/>
      <c r="AH796" s="2289"/>
      <c r="AI796" s="2289"/>
      <c r="AJ796" s="2294"/>
      <c r="AK796" s="2294"/>
      <c r="AL796" s="2289"/>
      <c r="AM796" s="2289"/>
      <c r="AN796" s="2289"/>
      <c r="AO796" s="2289"/>
      <c r="AP796" s="2289"/>
      <c r="AQ796" s="2289"/>
      <c r="AR796" s="2294"/>
      <c r="AS796" s="2294"/>
      <c r="AT796" s="2295"/>
      <c r="AU796" s="2295"/>
      <c r="AV796" s="2295"/>
      <c r="AW796" s="2295"/>
      <c r="AX796" s="2296"/>
      <c r="AY796" s="2289"/>
      <c r="AZ796" s="2289"/>
      <c r="BA796" s="2289"/>
      <c r="BB796" s="2289"/>
      <c r="BC796" s="2289"/>
      <c r="BD796" s="2289"/>
      <c r="BE796" s="2289"/>
      <c r="BF796" s="2289"/>
      <c r="BG796" s="2289"/>
      <c r="BH796" s="2289"/>
      <c r="BI796" s="2289"/>
      <c r="BJ796" s="2289"/>
      <c r="BK796" s="2289"/>
      <c r="BL796" s="2289"/>
      <c r="BM796" s="2289"/>
      <c r="BN796" s="2289"/>
      <c r="BO796" s="2289"/>
      <c r="BP796" s="2289"/>
      <c r="BQ796" s="2289"/>
      <c r="BR796" s="2289"/>
    </row>
    <row r="797" spans="1:70" ht="15.75" customHeight="1">
      <c r="A797" s="2289"/>
      <c r="B797" s="2289"/>
      <c r="C797" s="2289"/>
      <c r="D797" s="2289"/>
      <c r="E797" s="2289"/>
      <c r="F797" s="2289"/>
      <c r="G797" s="2290"/>
      <c r="H797" s="2289"/>
      <c r="I797" s="2289"/>
      <c r="J797" s="2290"/>
      <c r="K797" s="2289"/>
      <c r="L797" s="2289"/>
      <c r="M797" s="2290"/>
      <c r="N797" s="2290"/>
      <c r="O797" s="2290"/>
      <c r="P797" s="2290"/>
      <c r="Q797" s="2289"/>
      <c r="R797" s="2289"/>
      <c r="S797" s="2289"/>
      <c r="T797" s="2291"/>
      <c r="U797" s="2289"/>
      <c r="V797" s="2289"/>
      <c r="W797" s="2289"/>
      <c r="X797" s="2292"/>
      <c r="Y797" s="2292"/>
      <c r="Z797" s="2289"/>
      <c r="AA797" s="2289"/>
      <c r="AB797" s="2289"/>
      <c r="AC797" s="2289"/>
      <c r="AD797" s="2293"/>
      <c r="AE797" s="2293"/>
      <c r="AF797" s="2293"/>
      <c r="AG797" s="2293"/>
      <c r="AH797" s="2289"/>
      <c r="AI797" s="2289"/>
      <c r="AJ797" s="2294"/>
      <c r="AK797" s="2294"/>
      <c r="AL797" s="2289"/>
      <c r="AM797" s="2289"/>
      <c r="AN797" s="2289"/>
      <c r="AO797" s="2289"/>
      <c r="AP797" s="2289"/>
      <c r="AQ797" s="2289"/>
      <c r="AR797" s="2294"/>
      <c r="AS797" s="2294"/>
      <c r="AT797" s="2295"/>
      <c r="AU797" s="2295"/>
      <c r="AV797" s="2295"/>
      <c r="AW797" s="2295"/>
      <c r="AX797" s="2296"/>
      <c r="AY797" s="2289"/>
      <c r="AZ797" s="2289"/>
      <c r="BA797" s="2289"/>
      <c r="BB797" s="2289"/>
      <c r="BC797" s="2289"/>
      <c r="BD797" s="2289"/>
      <c r="BE797" s="2289"/>
      <c r="BF797" s="2289"/>
      <c r="BG797" s="2289"/>
      <c r="BH797" s="2289"/>
      <c r="BI797" s="2289"/>
      <c r="BJ797" s="2289"/>
      <c r="BK797" s="2289"/>
      <c r="BL797" s="2289"/>
      <c r="BM797" s="2289"/>
      <c r="BN797" s="2289"/>
      <c r="BO797" s="2289"/>
      <c r="BP797" s="2289"/>
      <c r="BQ797" s="2289"/>
      <c r="BR797" s="2289"/>
    </row>
    <row r="798" spans="1:70" ht="15.75" customHeight="1">
      <c r="A798" s="2289"/>
      <c r="B798" s="2289"/>
      <c r="C798" s="2289"/>
      <c r="D798" s="2289"/>
      <c r="E798" s="2289"/>
      <c r="F798" s="2289"/>
      <c r="G798" s="2290"/>
      <c r="H798" s="2289"/>
      <c r="I798" s="2289"/>
      <c r="J798" s="2290"/>
      <c r="K798" s="2289"/>
      <c r="L798" s="2289"/>
      <c r="M798" s="2290"/>
      <c r="N798" s="2290"/>
      <c r="O798" s="2290"/>
      <c r="P798" s="2290"/>
      <c r="Q798" s="2289"/>
      <c r="R798" s="2289"/>
      <c r="S798" s="2289"/>
      <c r="T798" s="2291"/>
      <c r="U798" s="2289"/>
      <c r="V798" s="2289"/>
      <c r="W798" s="2289"/>
      <c r="X798" s="2292"/>
      <c r="Y798" s="2292"/>
      <c r="Z798" s="2289"/>
      <c r="AA798" s="2289"/>
      <c r="AB798" s="2289"/>
      <c r="AC798" s="2289"/>
      <c r="AD798" s="2293"/>
      <c r="AE798" s="2293"/>
      <c r="AF798" s="2293"/>
      <c r="AG798" s="2293"/>
      <c r="AH798" s="2289"/>
      <c r="AI798" s="2289"/>
      <c r="AJ798" s="2294"/>
      <c r="AK798" s="2294"/>
      <c r="AL798" s="2289"/>
      <c r="AM798" s="2289"/>
      <c r="AN798" s="2289"/>
      <c r="AO798" s="2289"/>
      <c r="AP798" s="2289"/>
      <c r="AQ798" s="2289"/>
      <c r="AR798" s="2294"/>
      <c r="AS798" s="2294"/>
      <c r="AT798" s="2295"/>
      <c r="AU798" s="2295"/>
      <c r="AV798" s="2295"/>
      <c r="AW798" s="2295"/>
      <c r="AX798" s="2296"/>
      <c r="AY798" s="2289"/>
      <c r="AZ798" s="2289"/>
      <c r="BA798" s="2289"/>
      <c r="BB798" s="2289"/>
      <c r="BC798" s="2289"/>
      <c r="BD798" s="2289"/>
      <c r="BE798" s="2289"/>
      <c r="BF798" s="2289"/>
      <c r="BG798" s="2289"/>
      <c r="BH798" s="2289"/>
      <c r="BI798" s="2289"/>
      <c r="BJ798" s="2289"/>
      <c r="BK798" s="2289"/>
      <c r="BL798" s="2289"/>
      <c r="BM798" s="2289"/>
      <c r="BN798" s="2289"/>
      <c r="BO798" s="2289"/>
      <c r="BP798" s="2289"/>
      <c r="BQ798" s="2289"/>
      <c r="BR798" s="2289"/>
    </row>
    <row r="799" spans="1:70" ht="15.75" customHeight="1">
      <c r="A799" s="2289"/>
      <c r="B799" s="2289"/>
      <c r="C799" s="2289"/>
      <c r="D799" s="2289"/>
      <c r="E799" s="2289"/>
      <c r="F799" s="2289"/>
      <c r="G799" s="2290"/>
      <c r="H799" s="2289"/>
      <c r="I799" s="2289"/>
      <c r="J799" s="2290"/>
      <c r="K799" s="2289"/>
      <c r="L799" s="2289"/>
      <c r="M799" s="2290"/>
      <c r="N799" s="2290"/>
      <c r="O799" s="2290"/>
      <c r="P799" s="2290"/>
      <c r="Q799" s="2289"/>
      <c r="R799" s="2289"/>
      <c r="S799" s="2289"/>
      <c r="T799" s="2291"/>
      <c r="U799" s="2289"/>
      <c r="V799" s="2289"/>
      <c r="W799" s="2289"/>
      <c r="X799" s="2292"/>
      <c r="Y799" s="2292"/>
      <c r="Z799" s="2289"/>
      <c r="AA799" s="2289"/>
      <c r="AB799" s="2289"/>
      <c r="AC799" s="2289"/>
      <c r="AD799" s="2293"/>
      <c r="AE799" s="2293"/>
      <c r="AF799" s="2293"/>
      <c r="AG799" s="2293"/>
      <c r="AH799" s="2289"/>
      <c r="AI799" s="2289"/>
      <c r="AJ799" s="2294"/>
      <c r="AK799" s="2294"/>
      <c r="AL799" s="2289"/>
      <c r="AM799" s="2289"/>
      <c r="AN799" s="2289"/>
      <c r="AO799" s="2289"/>
      <c r="AP799" s="2289"/>
      <c r="AQ799" s="2289"/>
      <c r="AR799" s="2294"/>
      <c r="AS799" s="2294"/>
      <c r="AT799" s="2295"/>
      <c r="AU799" s="2295"/>
      <c r="AV799" s="2295"/>
      <c r="AW799" s="2295"/>
      <c r="AX799" s="2296"/>
      <c r="AY799" s="2289"/>
      <c r="AZ799" s="2289"/>
      <c r="BA799" s="2289"/>
      <c r="BB799" s="2289"/>
      <c r="BC799" s="2289"/>
      <c r="BD799" s="2289"/>
      <c r="BE799" s="2289"/>
      <c r="BF799" s="2289"/>
      <c r="BG799" s="2289"/>
      <c r="BH799" s="2289"/>
      <c r="BI799" s="2289"/>
      <c r="BJ799" s="2289"/>
      <c r="BK799" s="2289"/>
      <c r="BL799" s="2289"/>
      <c r="BM799" s="2289"/>
      <c r="BN799" s="2289"/>
      <c r="BO799" s="2289"/>
      <c r="BP799" s="2289"/>
      <c r="BQ799" s="2289"/>
      <c r="BR799" s="2289"/>
    </row>
    <row r="800" spans="1:70" ht="15.75" customHeight="1">
      <c r="A800" s="2289"/>
      <c r="B800" s="2289"/>
      <c r="C800" s="2289"/>
      <c r="D800" s="2289"/>
      <c r="E800" s="2289"/>
      <c r="F800" s="2289"/>
      <c r="G800" s="2290"/>
      <c r="H800" s="2289"/>
      <c r="I800" s="2289"/>
      <c r="J800" s="2290"/>
      <c r="K800" s="2289"/>
      <c r="L800" s="2289"/>
      <c r="M800" s="2290"/>
      <c r="N800" s="2290"/>
      <c r="O800" s="2290"/>
      <c r="P800" s="2290"/>
      <c r="Q800" s="2289"/>
      <c r="R800" s="2289"/>
      <c r="S800" s="2289"/>
      <c r="T800" s="2291"/>
      <c r="U800" s="2289"/>
      <c r="V800" s="2289"/>
      <c r="W800" s="2289"/>
      <c r="X800" s="2292"/>
      <c r="Y800" s="2292"/>
      <c r="Z800" s="2289"/>
      <c r="AA800" s="2289"/>
      <c r="AB800" s="2289"/>
      <c r="AC800" s="2289"/>
      <c r="AD800" s="2293"/>
      <c r="AE800" s="2293"/>
      <c r="AF800" s="2293"/>
      <c r="AG800" s="2293"/>
      <c r="AH800" s="2289"/>
      <c r="AI800" s="2289"/>
      <c r="AJ800" s="2294"/>
      <c r="AK800" s="2294"/>
      <c r="AL800" s="2289"/>
      <c r="AM800" s="2289"/>
      <c r="AN800" s="2289"/>
      <c r="AO800" s="2289"/>
      <c r="AP800" s="2289"/>
      <c r="AQ800" s="2289"/>
      <c r="AR800" s="2294"/>
      <c r="AS800" s="2294"/>
      <c r="AT800" s="2295"/>
      <c r="AU800" s="2295"/>
      <c r="AV800" s="2295"/>
      <c r="AW800" s="2295"/>
      <c r="AX800" s="2296"/>
      <c r="AY800" s="2289"/>
      <c r="AZ800" s="2289"/>
      <c r="BA800" s="2289"/>
      <c r="BB800" s="2289"/>
      <c r="BC800" s="2289"/>
      <c r="BD800" s="2289"/>
      <c r="BE800" s="2289"/>
      <c r="BF800" s="2289"/>
      <c r="BG800" s="2289"/>
      <c r="BH800" s="2289"/>
      <c r="BI800" s="2289"/>
      <c r="BJ800" s="2289"/>
      <c r="BK800" s="2289"/>
      <c r="BL800" s="2289"/>
      <c r="BM800" s="2289"/>
      <c r="BN800" s="2289"/>
      <c r="BO800" s="2289"/>
      <c r="BP800" s="2289"/>
      <c r="BQ800" s="2289"/>
      <c r="BR800" s="2289"/>
    </row>
    <row r="801" spans="1:70" ht="15.75" customHeight="1">
      <c r="A801" s="2289"/>
      <c r="B801" s="2289"/>
      <c r="C801" s="2289"/>
      <c r="D801" s="2289"/>
      <c r="E801" s="2289"/>
      <c r="F801" s="2289"/>
      <c r="G801" s="2290"/>
      <c r="H801" s="2289"/>
      <c r="I801" s="2289"/>
      <c r="J801" s="2290"/>
      <c r="K801" s="2289"/>
      <c r="L801" s="2289"/>
      <c r="M801" s="2290"/>
      <c r="N801" s="2290"/>
      <c r="O801" s="2290"/>
      <c r="P801" s="2290"/>
      <c r="Q801" s="2289"/>
      <c r="R801" s="2289"/>
      <c r="S801" s="2289"/>
      <c r="T801" s="2291"/>
      <c r="U801" s="2289"/>
      <c r="V801" s="2289"/>
      <c r="W801" s="2289"/>
      <c r="X801" s="2292"/>
      <c r="Y801" s="2292"/>
      <c r="Z801" s="2289"/>
      <c r="AA801" s="2289"/>
      <c r="AB801" s="2289"/>
      <c r="AC801" s="2289"/>
      <c r="AD801" s="2293"/>
      <c r="AE801" s="2293"/>
      <c r="AF801" s="2293"/>
      <c r="AG801" s="2293"/>
      <c r="AH801" s="2289"/>
      <c r="AI801" s="2289"/>
      <c r="AJ801" s="2294"/>
      <c r="AK801" s="2294"/>
      <c r="AL801" s="2289"/>
      <c r="AM801" s="2289"/>
      <c r="AN801" s="2289"/>
      <c r="AO801" s="2289"/>
      <c r="AP801" s="2289"/>
      <c r="AQ801" s="2289"/>
      <c r="AR801" s="2294"/>
      <c r="AS801" s="2294"/>
      <c r="AT801" s="2295"/>
      <c r="AU801" s="2295"/>
      <c r="AV801" s="2295"/>
      <c r="AW801" s="2295"/>
      <c r="AX801" s="2296"/>
      <c r="AY801" s="2289"/>
      <c r="AZ801" s="2289"/>
      <c r="BA801" s="2289"/>
      <c r="BB801" s="2289"/>
      <c r="BC801" s="2289"/>
      <c r="BD801" s="2289"/>
      <c r="BE801" s="2289"/>
      <c r="BF801" s="2289"/>
      <c r="BG801" s="2289"/>
      <c r="BH801" s="2289"/>
      <c r="BI801" s="2289"/>
      <c r="BJ801" s="2289"/>
      <c r="BK801" s="2289"/>
      <c r="BL801" s="2289"/>
      <c r="BM801" s="2289"/>
      <c r="BN801" s="2289"/>
      <c r="BO801" s="2289"/>
      <c r="BP801" s="2289"/>
      <c r="BQ801" s="2289"/>
      <c r="BR801" s="2289"/>
    </row>
    <row r="802" spans="1:70" ht="15.75" customHeight="1">
      <c r="A802" s="2289"/>
      <c r="B802" s="2289"/>
      <c r="C802" s="2289"/>
      <c r="D802" s="2289"/>
      <c r="E802" s="2289"/>
      <c r="F802" s="2289"/>
      <c r="G802" s="2290"/>
      <c r="H802" s="2289"/>
      <c r="I802" s="2289"/>
      <c r="J802" s="2290"/>
      <c r="K802" s="2289"/>
      <c r="L802" s="2289"/>
      <c r="M802" s="2290"/>
      <c r="N802" s="2290"/>
      <c r="O802" s="2290"/>
      <c r="P802" s="2290"/>
      <c r="Q802" s="2289"/>
      <c r="R802" s="2289"/>
      <c r="S802" s="2289"/>
      <c r="T802" s="2291"/>
      <c r="U802" s="2289"/>
      <c r="V802" s="2289"/>
      <c r="W802" s="2289"/>
      <c r="X802" s="2292"/>
      <c r="Y802" s="2292"/>
      <c r="Z802" s="2289"/>
      <c r="AA802" s="2289"/>
      <c r="AB802" s="2289"/>
      <c r="AC802" s="2289"/>
      <c r="AD802" s="2293"/>
      <c r="AE802" s="2293"/>
      <c r="AF802" s="2293"/>
      <c r="AG802" s="2293"/>
      <c r="AH802" s="2289"/>
      <c r="AI802" s="2289"/>
      <c r="AJ802" s="2294"/>
      <c r="AK802" s="2294"/>
      <c r="AL802" s="2289"/>
      <c r="AM802" s="2289"/>
      <c r="AN802" s="2289"/>
      <c r="AO802" s="2289"/>
      <c r="AP802" s="2289"/>
      <c r="AQ802" s="2289"/>
      <c r="AR802" s="2294"/>
      <c r="AS802" s="2294"/>
      <c r="AT802" s="2295"/>
      <c r="AU802" s="2295"/>
      <c r="AV802" s="2295"/>
      <c r="AW802" s="2295"/>
      <c r="AX802" s="2296"/>
      <c r="AY802" s="2289"/>
      <c r="AZ802" s="2289"/>
      <c r="BA802" s="2289"/>
      <c r="BB802" s="2289"/>
      <c r="BC802" s="2289"/>
      <c r="BD802" s="2289"/>
      <c r="BE802" s="2289"/>
      <c r="BF802" s="2289"/>
      <c r="BG802" s="2289"/>
      <c r="BH802" s="2289"/>
      <c r="BI802" s="2289"/>
      <c r="BJ802" s="2289"/>
      <c r="BK802" s="2289"/>
      <c r="BL802" s="2289"/>
      <c r="BM802" s="2289"/>
      <c r="BN802" s="2289"/>
      <c r="BO802" s="2289"/>
      <c r="BP802" s="2289"/>
      <c r="BQ802" s="2289"/>
      <c r="BR802" s="2289"/>
    </row>
    <row r="803" spans="1:70" ht="15.75" customHeight="1">
      <c r="A803" s="2289"/>
      <c r="B803" s="2289"/>
      <c r="C803" s="2289"/>
      <c r="D803" s="2289"/>
      <c r="E803" s="2289"/>
      <c r="F803" s="2289"/>
      <c r="G803" s="2290"/>
      <c r="H803" s="2289"/>
      <c r="I803" s="2289"/>
      <c r="J803" s="2290"/>
      <c r="K803" s="2289"/>
      <c r="L803" s="2289"/>
      <c r="M803" s="2290"/>
      <c r="N803" s="2290"/>
      <c r="O803" s="2290"/>
      <c r="P803" s="2290"/>
      <c r="Q803" s="2289"/>
      <c r="R803" s="2289"/>
      <c r="S803" s="2289"/>
      <c r="T803" s="2291"/>
      <c r="U803" s="2289"/>
      <c r="V803" s="2289"/>
      <c r="W803" s="2289"/>
      <c r="X803" s="2292"/>
      <c r="Y803" s="2292"/>
      <c r="Z803" s="2289"/>
      <c r="AA803" s="2289"/>
      <c r="AB803" s="2289"/>
      <c r="AC803" s="2289"/>
      <c r="AD803" s="2293"/>
      <c r="AE803" s="2293"/>
      <c r="AF803" s="2293"/>
      <c r="AG803" s="2293"/>
      <c r="AH803" s="2289"/>
      <c r="AI803" s="2289"/>
      <c r="AJ803" s="2294"/>
      <c r="AK803" s="2294"/>
      <c r="AL803" s="2289"/>
      <c r="AM803" s="2289"/>
      <c r="AN803" s="2289"/>
      <c r="AO803" s="2289"/>
      <c r="AP803" s="2289"/>
      <c r="AQ803" s="2289"/>
      <c r="AR803" s="2294"/>
      <c r="AS803" s="2294"/>
      <c r="AT803" s="2295"/>
      <c r="AU803" s="2295"/>
      <c r="AV803" s="2295"/>
      <c r="AW803" s="2295"/>
      <c r="AX803" s="2296"/>
      <c r="AY803" s="2289"/>
      <c r="AZ803" s="2289"/>
      <c r="BA803" s="2289"/>
      <c r="BB803" s="2289"/>
      <c r="BC803" s="2289"/>
      <c r="BD803" s="2289"/>
      <c r="BE803" s="2289"/>
      <c r="BF803" s="2289"/>
      <c r="BG803" s="2289"/>
      <c r="BH803" s="2289"/>
      <c r="BI803" s="2289"/>
      <c r="BJ803" s="2289"/>
      <c r="BK803" s="2289"/>
      <c r="BL803" s="2289"/>
      <c r="BM803" s="2289"/>
      <c r="BN803" s="2289"/>
      <c r="BO803" s="2289"/>
      <c r="BP803" s="2289"/>
      <c r="BQ803" s="2289"/>
      <c r="BR803" s="2289"/>
    </row>
    <row r="804" spans="1:70" ht="15.75" customHeight="1">
      <c r="A804" s="2289"/>
      <c r="B804" s="2289"/>
      <c r="C804" s="2289"/>
      <c r="D804" s="2289"/>
      <c r="E804" s="2289"/>
      <c r="F804" s="2289"/>
      <c r="G804" s="2290"/>
      <c r="H804" s="2289"/>
      <c r="I804" s="2289"/>
      <c r="J804" s="2290"/>
      <c r="K804" s="2289"/>
      <c r="L804" s="2289"/>
      <c r="M804" s="2290"/>
      <c r="N804" s="2290"/>
      <c r="O804" s="2290"/>
      <c r="P804" s="2290"/>
      <c r="Q804" s="2289"/>
      <c r="R804" s="2289"/>
      <c r="S804" s="2289"/>
      <c r="T804" s="2291"/>
      <c r="U804" s="2289"/>
      <c r="V804" s="2289"/>
      <c r="W804" s="2289"/>
      <c r="X804" s="2292"/>
      <c r="Y804" s="2292"/>
      <c r="Z804" s="2289"/>
      <c r="AA804" s="2289"/>
      <c r="AB804" s="2289"/>
      <c r="AC804" s="2289"/>
      <c r="AD804" s="2293"/>
      <c r="AE804" s="2293"/>
      <c r="AF804" s="2293"/>
      <c r="AG804" s="2293"/>
      <c r="AH804" s="2289"/>
      <c r="AI804" s="2289"/>
      <c r="AJ804" s="2294"/>
      <c r="AK804" s="2294"/>
      <c r="AL804" s="2289"/>
      <c r="AM804" s="2289"/>
      <c r="AN804" s="2289"/>
      <c r="AO804" s="2289"/>
      <c r="AP804" s="2289"/>
      <c r="AQ804" s="2289"/>
      <c r="AR804" s="2294"/>
      <c r="AS804" s="2294"/>
      <c r="AT804" s="2295"/>
      <c r="AU804" s="2295"/>
      <c r="AV804" s="2295"/>
      <c r="AW804" s="2295"/>
      <c r="AX804" s="2296"/>
      <c r="AY804" s="2289"/>
      <c r="AZ804" s="2289"/>
      <c r="BA804" s="2289"/>
      <c r="BB804" s="2289"/>
      <c r="BC804" s="2289"/>
      <c r="BD804" s="2289"/>
      <c r="BE804" s="2289"/>
      <c r="BF804" s="2289"/>
      <c r="BG804" s="2289"/>
      <c r="BH804" s="2289"/>
      <c r="BI804" s="2289"/>
      <c r="BJ804" s="2289"/>
      <c r="BK804" s="2289"/>
      <c r="BL804" s="2289"/>
      <c r="BM804" s="2289"/>
      <c r="BN804" s="2289"/>
      <c r="BO804" s="2289"/>
      <c r="BP804" s="2289"/>
      <c r="BQ804" s="2289"/>
      <c r="BR804" s="2289"/>
    </row>
    <row r="805" spans="1:70" ht="15.75" customHeight="1">
      <c r="A805" s="2289"/>
      <c r="B805" s="2289"/>
      <c r="C805" s="2289"/>
      <c r="D805" s="2289"/>
      <c r="E805" s="2289"/>
      <c r="F805" s="2289"/>
      <c r="G805" s="2290"/>
      <c r="H805" s="2289"/>
      <c r="I805" s="2289"/>
      <c r="J805" s="2290"/>
      <c r="K805" s="2289"/>
      <c r="L805" s="2289"/>
      <c r="M805" s="2290"/>
      <c r="N805" s="2290"/>
      <c r="O805" s="2290"/>
      <c r="P805" s="2290"/>
      <c r="Q805" s="2289"/>
      <c r="R805" s="2289"/>
      <c r="S805" s="2289"/>
      <c r="T805" s="2291"/>
      <c r="U805" s="2289"/>
      <c r="V805" s="2289"/>
      <c r="W805" s="2289"/>
      <c r="X805" s="2292"/>
      <c r="Y805" s="2292"/>
      <c r="Z805" s="2289"/>
      <c r="AA805" s="2289"/>
      <c r="AB805" s="2289"/>
      <c r="AC805" s="2289"/>
      <c r="AD805" s="2293"/>
      <c r="AE805" s="2293"/>
      <c r="AF805" s="2293"/>
      <c r="AG805" s="2293"/>
      <c r="AH805" s="2289"/>
      <c r="AI805" s="2289"/>
      <c r="AJ805" s="2294"/>
      <c r="AK805" s="2294"/>
      <c r="AL805" s="2289"/>
      <c r="AM805" s="2289"/>
      <c r="AN805" s="2289"/>
      <c r="AO805" s="2289"/>
      <c r="AP805" s="2289"/>
      <c r="AQ805" s="2289"/>
      <c r="AR805" s="2294"/>
      <c r="AS805" s="2294"/>
      <c r="AT805" s="2295"/>
      <c r="AU805" s="2295"/>
      <c r="AV805" s="2295"/>
      <c r="AW805" s="2295"/>
      <c r="AX805" s="2296"/>
      <c r="AY805" s="2289"/>
      <c r="AZ805" s="2289"/>
      <c r="BA805" s="2289"/>
      <c r="BB805" s="2289"/>
      <c r="BC805" s="2289"/>
      <c r="BD805" s="2289"/>
      <c r="BE805" s="2289"/>
      <c r="BF805" s="2289"/>
      <c r="BG805" s="2289"/>
      <c r="BH805" s="2289"/>
      <c r="BI805" s="2289"/>
      <c r="BJ805" s="2289"/>
      <c r="BK805" s="2289"/>
      <c r="BL805" s="2289"/>
      <c r="BM805" s="2289"/>
      <c r="BN805" s="2289"/>
      <c r="BO805" s="2289"/>
      <c r="BP805" s="2289"/>
      <c r="BQ805" s="2289"/>
      <c r="BR805" s="2289"/>
    </row>
    <row r="806" spans="1:70" ht="15.75" customHeight="1">
      <c r="A806" s="2289"/>
      <c r="B806" s="2289"/>
      <c r="C806" s="2289"/>
      <c r="D806" s="2289"/>
      <c r="E806" s="2289"/>
      <c r="F806" s="2289"/>
      <c r="G806" s="2290"/>
      <c r="H806" s="2289"/>
      <c r="I806" s="2289"/>
      <c r="J806" s="2290"/>
      <c r="K806" s="2289"/>
      <c r="L806" s="2289"/>
      <c r="M806" s="2290"/>
      <c r="N806" s="2290"/>
      <c r="O806" s="2290"/>
      <c r="P806" s="2290"/>
      <c r="Q806" s="2289"/>
      <c r="R806" s="2289"/>
      <c r="S806" s="2289"/>
      <c r="T806" s="2291"/>
      <c r="U806" s="2289"/>
      <c r="V806" s="2289"/>
      <c r="W806" s="2289"/>
      <c r="X806" s="2292"/>
      <c r="Y806" s="2292"/>
      <c r="Z806" s="2289"/>
      <c r="AA806" s="2289"/>
      <c r="AB806" s="2289"/>
      <c r="AC806" s="2289"/>
      <c r="AD806" s="2293"/>
      <c r="AE806" s="2293"/>
      <c r="AF806" s="2293"/>
      <c r="AG806" s="2293"/>
      <c r="AH806" s="2289"/>
      <c r="AI806" s="2289"/>
      <c r="AJ806" s="2294"/>
      <c r="AK806" s="2294"/>
      <c r="AL806" s="2289"/>
      <c r="AM806" s="2289"/>
      <c r="AN806" s="2289"/>
      <c r="AO806" s="2289"/>
      <c r="AP806" s="2289"/>
      <c r="AQ806" s="2289"/>
      <c r="AR806" s="2294"/>
      <c r="AS806" s="2294"/>
      <c r="AT806" s="2295"/>
      <c r="AU806" s="2295"/>
      <c r="AV806" s="2295"/>
      <c r="AW806" s="2295"/>
      <c r="AX806" s="2296"/>
      <c r="AY806" s="2289"/>
      <c r="AZ806" s="2289"/>
      <c r="BA806" s="2289"/>
      <c r="BB806" s="2289"/>
      <c r="BC806" s="2289"/>
      <c r="BD806" s="2289"/>
      <c r="BE806" s="2289"/>
      <c r="BF806" s="2289"/>
      <c r="BG806" s="2289"/>
      <c r="BH806" s="2289"/>
      <c r="BI806" s="2289"/>
      <c r="BJ806" s="2289"/>
      <c r="BK806" s="2289"/>
      <c r="BL806" s="2289"/>
      <c r="BM806" s="2289"/>
      <c r="BN806" s="2289"/>
      <c r="BO806" s="2289"/>
      <c r="BP806" s="2289"/>
      <c r="BQ806" s="2289"/>
      <c r="BR806" s="2289"/>
    </row>
    <row r="807" spans="1:70" ht="15.75" customHeight="1">
      <c r="A807" s="2289"/>
      <c r="B807" s="2289"/>
      <c r="C807" s="2289"/>
      <c r="D807" s="2289"/>
      <c r="E807" s="2289"/>
      <c r="F807" s="2289"/>
      <c r="G807" s="2290"/>
      <c r="H807" s="2289"/>
      <c r="I807" s="2289"/>
      <c r="J807" s="2290"/>
      <c r="K807" s="2289"/>
      <c r="L807" s="2289"/>
      <c r="M807" s="2290"/>
      <c r="N807" s="2290"/>
      <c r="O807" s="2290"/>
      <c r="P807" s="2290"/>
      <c r="Q807" s="2289"/>
      <c r="R807" s="2289"/>
      <c r="S807" s="2289"/>
      <c r="T807" s="2291"/>
      <c r="U807" s="2289"/>
      <c r="V807" s="2289"/>
      <c r="W807" s="2289"/>
      <c r="X807" s="2292"/>
      <c r="Y807" s="2292"/>
      <c r="Z807" s="2289"/>
      <c r="AA807" s="2289"/>
      <c r="AB807" s="2289"/>
      <c r="AC807" s="2289"/>
      <c r="AD807" s="2293"/>
      <c r="AE807" s="2293"/>
      <c r="AF807" s="2293"/>
      <c r="AG807" s="2293"/>
      <c r="AH807" s="2289"/>
      <c r="AI807" s="2289"/>
      <c r="AJ807" s="2294"/>
      <c r="AK807" s="2294"/>
      <c r="AL807" s="2289"/>
      <c r="AM807" s="2289"/>
      <c r="AN807" s="2289"/>
      <c r="AO807" s="2289"/>
      <c r="AP807" s="2289"/>
      <c r="AQ807" s="2289"/>
      <c r="AR807" s="2294"/>
      <c r="AS807" s="2294"/>
      <c r="AT807" s="2295"/>
      <c r="AU807" s="2295"/>
      <c r="AV807" s="2295"/>
      <c r="AW807" s="2295"/>
      <c r="AX807" s="2296"/>
      <c r="AY807" s="2289"/>
      <c r="AZ807" s="2289"/>
      <c r="BA807" s="2289"/>
      <c r="BB807" s="2289"/>
      <c r="BC807" s="2289"/>
      <c r="BD807" s="2289"/>
      <c r="BE807" s="2289"/>
      <c r="BF807" s="2289"/>
      <c r="BG807" s="2289"/>
      <c r="BH807" s="2289"/>
      <c r="BI807" s="2289"/>
      <c r="BJ807" s="2289"/>
      <c r="BK807" s="2289"/>
      <c r="BL807" s="2289"/>
      <c r="BM807" s="2289"/>
      <c r="BN807" s="2289"/>
      <c r="BO807" s="2289"/>
      <c r="BP807" s="2289"/>
      <c r="BQ807" s="2289"/>
      <c r="BR807" s="2289"/>
    </row>
    <row r="808" spans="1:70" ht="15.75" customHeight="1">
      <c r="A808" s="2289"/>
      <c r="B808" s="2289"/>
      <c r="C808" s="2289"/>
      <c r="D808" s="2289"/>
      <c r="E808" s="2289"/>
      <c r="F808" s="2289"/>
      <c r="G808" s="2290"/>
      <c r="H808" s="2289"/>
      <c r="I808" s="2289"/>
      <c r="J808" s="2290"/>
      <c r="K808" s="2289"/>
      <c r="L808" s="2289"/>
      <c r="M808" s="2290"/>
      <c r="N808" s="2290"/>
      <c r="O808" s="2290"/>
      <c r="P808" s="2290"/>
      <c r="Q808" s="2289"/>
      <c r="R808" s="2289"/>
      <c r="S808" s="2289"/>
      <c r="T808" s="2291"/>
      <c r="U808" s="2289"/>
      <c r="V808" s="2289"/>
      <c r="W808" s="2289"/>
      <c r="X808" s="2292"/>
      <c r="Y808" s="2292"/>
      <c r="Z808" s="2289"/>
      <c r="AA808" s="2289"/>
      <c r="AB808" s="2289"/>
      <c r="AC808" s="2289"/>
      <c r="AD808" s="2293"/>
      <c r="AE808" s="2293"/>
      <c r="AF808" s="2293"/>
      <c r="AG808" s="2293"/>
      <c r="AH808" s="2289"/>
      <c r="AI808" s="2289"/>
      <c r="AJ808" s="2294"/>
      <c r="AK808" s="2294"/>
      <c r="AL808" s="2289"/>
      <c r="AM808" s="2289"/>
      <c r="AN808" s="2289"/>
      <c r="AO808" s="2289"/>
      <c r="AP808" s="2289"/>
      <c r="AQ808" s="2289"/>
      <c r="AR808" s="2294"/>
      <c r="AS808" s="2294"/>
      <c r="AT808" s="2295"/>
      <c r="AU808" s="2295"/>
      <c r="AV808" s="2295"/>
      <c r="AW808" s="2295"/>
      <c r="AX808" s="2296"/>
      <c r="AY808" s="2289"/>
      <c r="AZ808" s="2289"/>
      <c r="BA808" s="2289"/>
      <c r="BB808" s="2289"/>
      <c r="BC808" s="2289"/>
      <c r="BD808" s="2289"/>
      <c r="BE808" s="2289"/>
      <c r="BF808" s="2289"/>
      <c r="BG808" s="2289"/>
      <c r="BH808" s="2289"/>
      <c r="BI808" s="2289"/>
      <c r="BJ808" s="2289"/>
      <c r="BK808" s="2289"/>
      <c r="BL808" s="2289"/>
      <c r="BM808" s="2289"/>
      <c r="BN808" s="2289"/>
      <c r="BO808" s="2289"/>
      <c r="BP808" s="2289"/>
      <c r="BQ808" s="2289"/>
      <c r="BR808" s="2289"/>
    </row>
    <row r="809" spans="1:70" ht="15.75" customHeight="1">
      <c r="A809" s="2289"/>
      <c r="B809" s="2289"/>
      <c r="C809" s="2289"/>
      <c r="D809" s="2289"/>
      <c r="E809" s="2289"/>
      <c r="F809" s="2289"/>
      <c r="G809" s="2290"/>
      <c r="H809" s="2289"/>
      <c r="I809" s="2289"/>
      <c r="J809" s="2290"/>
      <c r="K809" s="2289"/>
      <c r="L809" s="2289"/>
      <c r="M809" s="2290"/>
      <c r="N809" s="2290"/>
      <c r="O809" s="2290"/>
      <c r="P809" s="2290"/>
      <c r="Q809" s="2289"/>
      <c r="R809" s="2289"/>
      <c r="S809" s="2289"/>
      <c r="T809" s="2291"/>
      <c r="U809" s="2289"/>
      <c r="V809" s="2289"/>
      <c r="W809" s="2289"/>
      <c r="X809" s="2292"/>
      <c r="Y809" s="2292"/>
      <c r="Z809" s="2289"/>
      <c r="AA809" s="2289"/>
      <c r="AB809" s="2289"/>
      <c r="AC809" s="2289"/>
      <c r="AD809" s="2293"/>
      <c r="AE809" s="2293"/>
      <c r="AF809" s="2293"/>
      <c r="AG809" s="2293"/>
      <c r="AH809" s="2289"/>
      <c r="AI809" s="2289"/>
      <c r="AJ809" s="2294"/>
      <c r="AK809" s="2294"/>
      <c r="AL809" s="2289"/>
      <c r="AM809" s="2289"/>
      <c r="AN809" s="2289"/>
      <c r="AO809" s="2289"/>
      <c r="AP809" s="2289"/>
      <c r="AQ809" s="2289"/>
      <c r="AR809" s="2294"/>
      <c r="AS809" s="2294"/>
      <c r="AT809" s="2295"/>
      <c r="AU809" s="2295"/>
      <c r="AV809" s="2295"/>
      <c r="AW809" s="2295"/>
      <c r="AX809" s="2296"/>
      <c r="AY809" s="2289"/>
      <c r="AZ809" s="2289"/>
      <c r="BA809" s="2289"/>
      <c r="BB809" s="2289"/>
      <c r="BC809" s="2289"/>
      <c r="BD809" s="2289"/>
      <c r="BE809" s="2289"/>
      <c r="BF809" s="2289"/>
      <c r="BG809" s="2289"/>
      <c r="BH809" s="2289"/>
      <c r="BI809" s="2289"/>
      <c r="BJ809" s="2289"/>
      <c r="BK809" s="2289"/>
      <c r="BL809" s="2289"/>
      <c r="BM809" s="2289"/>
      <c r="BN809" s="2289"/>
      <c r="BO809" s="2289"/>
      <c r="BP809" s="2289"/>
      <c r="BQ809" s="2289"/>
      <c r="BR809" s="2289"/>
    </row>
    <row r="810" spans="1:70" ht="15.75" customHeight="1">
      <c r="A810" s="2289"/>
      <c r="B810" s="2289"/>
      <c r="C810" s="2289"/>
      <c r="D810" s="2289"/>
      <c r="E810" s="2289"/>
      <c r="F810" s="2289"/>
      <c r="G810" s="2290"/>
      <c r="H810" s="2289"/>
      <c r="I810" s="2289"/>
      <c r="J810" s="2290"/>
      <c r="K810" s="2289"/>
      <c r="L810" s="2289"/>
      <c r="M810" s="2290"/>
      <c r="N810" s="2290"/>
      <c r="O810" s="2290"/>
      <c r="P810" s="2290"/>
      <c r="Q810" s="2289"/>
      <c r="R810" s="2289"/>
      <c r="S810" s="2289"/>
      <c r="T810" s="2291"/>
      <c r="U810" s="2289"/>
      <c r="V810" s="2289"/>
      <c r="W810" s="2289"/>
      <c r="X810" s="2292"/>
      <c r="Y810" s="2292"/>
      <c r="Z810" s="2289"/>
      <c r="AA810" s="2289"/>
      <c r="AB810" s="2289"/>
      <c r="AC810" s="2289"/>
      <c r="AD810" s="2293"/>
      <c r="AE810" s="2293"/>
      <c r="AF810" s="2293"/>
      <c r="AG810" s="2293"/>
      <c r="AH810" s="2289"/>
      <c r="AI810" s="2289"/>
      <c r="AJ810" s="2294"/>
      <c r="AK810" s="2294"/>
      <c r="AL810" s="2289"/>
      <c r="AM810" s="2289"/>
      <c r="AN810" s="2289"/>
      <c r="AO810" s="2289"/>
      <c r="AP810" s="2289"/>
      <c r="AQ810" s="2289"/>
      <c r="AR810" s="2294"/>
      <c r="AS810" s="2294"/>
      <c r="AT810" s="2295"/>
      <c r="AU810" s="2295"/>
      <c r="AV810" s="2295"/>
      <c r="AW810" s="2295"/>
      <c r="AX810" s="2296"/>
      <c r="AY810" s="2289"/>
      <c r="AZ810" s="2289"/>
      <c r="BA810" s="2289"/>
      <c r="BB810" s="2289"/>
      <c r="BC810" s="2289"/>
      <c r="BD810" s="2289"/>
      <c r="BE810" s="2289"/>
      <c r="BF810" s="2289"/>
      <c r="BG810" s="2289"/>
      <c r="BH810" s="2289"/>
      <c r="BI810" s="2289"/>
      <c r="BJ810" s="2289"/>
      <c r="BK810" s="2289"/>
      <c r="BL810" s="2289"/>
      <c r="BM810" s="2289"/>
      <c r="BN810" s="2289"/>
      <c r="BO810" s="2289"/>
      <c r="BP810" s="2289"/>
      <c r="BQ810" s="2289"/>
      <c r="BR810" s="2289"/>
    </row>
    <row r="811" spans="1:70" ht="15.75" customHeight="1">
      <c r="A811" s="2289"/>
      <c r="B811" s="2289"/>
      <c r="C811" s="2289"/>
      <c r="D811" s="2289"/>
      <c r="E811" s="2289"/>
      <c r="F811" s="2289"/>
      <c r="G811" s="2290"/>
      <c r="H811" s="2289"/>
      <c r="I811" s="2289"/>
      <c r="J811" s="2290"/>
      <c r="K811" s="2289"/>
      <c r="L811" s="2289"/>
      <c r="M811" s="2290"/>
      <c r="N811" s="2290"/>
      <c r="O811" s="2290"/>
      <c r="P811" s="2290"/>
      <c r="Q811" s="2289"/>
      <c r="R811" s="2289"/>
      <c r="S811" s="2289"/>
      <c r="T811" s="2291"/>
      <c r="U811" s="2289"/>
      <c r="V811" s="2289"/>
      <c r="W811" s="2289"/>
      <c r="X811" s="2292"/>
      <c r="Y811" s="2292"/>
      <c r="Z811" s="2289"/>
      <c r="AA811" s="2289"/>
      <c r="AB811" s="2289"/>
      <c r="AC811" s="2289"/>
      <c r="AD811" s="2293"/>
      <c r="AE811" s="2293"/>
      <c r="AF811" s="2293"/>
      <c r="AG811" s="2293"/>
      <c r="AH811" s="2289"/>
      <c r="AI811" s="2289"/>
      <c r="AJ811" s="2294"/>
      <c r="AK811" s="2294"/>
      <c r="AL811" s="2289"/>
      <c r="AM811" s="2289"/>
      <c r="AN811" s="2289"/>
      <c r="AO811" s="2289"/>
      <c r="AP811" s="2289"/>
      <c r="AQ811" s="2289"/>
      <c r="AR811" s="2294"/>
      <c r="AS811" s="2294"/>
      <c r="AT811" s="2295"/>
      <c r="AU811" s="2295"/>
      <c r="AV811" s="2295"/>
      <c r="AW811" s="2295"/>
      <c r="AX811" s="2296"/>
      <c r="AY811" s="2289"/>
      <c r="AZ811" s="2289"/>
      <c r="BA811" s="2289"/>
      <c r="BB811" s="2289"/>
      <c r="BC811" s="2289"/>
      <c r="BD811" s="2289"/>
      <c r="BE811" s="2289"/>
      <c r="BF811" s="2289"/>
      <c r="BG811" s="2289"/>
      <c r="BH811" s="2289"/>
      <c r="BI811" s="2289"/>
      <c r="BJ811" s="2289"/>
      <c r="BK811" s="2289"/>
      <c r="BL811" s="2289"/>
      <c r="BM811" s="2289"/>
      <c r="BN811" s="2289"/>
      <c r="BO811" s="2289"/>
      <c r="BP811" s="2289"/>
      <c r="BQ811" s="2289"/>
      <c r="BR811" s="2289"/>
    </row>
    <row r="812" spans="1:70" ht="15.75" customHeight="1">
      <c r="A812" s="2289"/>
      <c r="B812" s="2289"/>
      <c r="C812" s="2289"/>
      <c r="D812" s="2289"/>
      <c r="E812" s="2289"/>
      <c r="F812" s="2289"/>
      <c r="G812" s="2290"/>
      <c r="H812" s="2289"/>
      <c r="I812" s="2289"/>
      <c r="J812" s="2290"/>
      <c r="K812" s="2289"/>
      <c r="L812" s="2289"/>
      <c r="M812" s="2290"/>
      <c r="N812" s="2290"/>
      <c r="O812" s="2290"/>
      <c r="P812" s="2290"/>
      <c r="Q812" s="2289"/>
      <c r="R812" s="2289"/>
      <c r="S812" s="2289"/>
      <c r="T812" s="2291"/>
      <c r="U812" s="2289"/>
      <c r="V812" s="2289"/>
      <c r="W812" s="2289"/>
      <c r="X812" s="2292"/>
      <c r="Y812" s="2292"/>
      <c r="Z812" s="2289"/>
      <c r="AA812" s="2289"/>
      <c r="AB812" s="2289"/>
      <c r="AC812" s="2289"/>
      <c r="AD812" s="2293"/>
      <c r="AE812" s="2293"/>
      <c r="AF812" s="2293"/>
      <c r="AG812" s="2293"/>
      <c r="AH812" s="2289"/>
      <c r="AI812" s="2289"/>
      <c r="AJ812" s="2294"/>
      <c r="AK812" s="2294"/>
      <c r="AL812" s="2289"/>
      <c r="AM812" s="2289"/>
      <c r="AN812" s="2289"/>
      <c r="AO812" s="2289"/>
      <c r="AP812" s="2289"/>
      <c r="AQ812" s="2289"/>
      <c r="AR812" s="2294"/>
      <c r="AS812" s="2294"/>
      <c r="AT812" s="2295"/>
      <c r="AU812" s="2295"/>
      <c r="AV812" s="2295"/>
      <c r="AW812" s="2295"/>
      <c r="AX812" s="2296"/>
      <c r="AY812" s="2289"/>
      <c r="AZ812" s="2289"/>
      <c r="BA812" s="2289"/>
      <c r="BB812" s="2289"/>
      <c r="BC812" s="2289"/>
      <c r="BD812" s="2289"/>
      <c r="BE812" s="2289"/>
      <c r="BF812" s="2289"/>
      <c r="BG812" s="2289"/>
      <c r="BH812" s="2289"/>
      <c r="BI812" s="2289"/>
      <c r="BJ812" s="2289"/>
      <c r="BK812" s="2289"/>
      <c r="BL812" s="2289"/>
      <c r="BM812" s="2289"/>
      <c r="BN812" s="2289"/>
      <c r="BO812" s="2289"/>
      <c r="BP812" s="2289"/>
      <c r="BQ812" s="2289"/>
      <c r="BR812" s="2289"/>
    </row>
    <row r="813" spans="1:70" ht="15.75" customHeight="1">
      <c r="A813" s="2289"/>
      <c r="B813" s="2289"/>
      <c r="C813" s="2289"/>
      <c r="D813" s="2289"/>
      <c r="E813" s="2289"/>
      <c r="F813" s="2289"/>
      <c r="G813" s="2290"/>
      <c r="H813" s="2289"/>
      <c r="I813" s="2289"/>
      <c r="J813" s="2290"/>
      <c r="K813" s="2289"/>
      <c r="L813" s="2289"/>
      <c r="M813" s="2290"/>
      <c r="N813" s="2290"/>
      <c r="O813" s="2290"/>
      <c r="P813" s="2290"/>
      <c r="Q813" s="2289"/>
      <c r="R813" s="2289"/>
      <c r="S813" s="2289"/>
      <c r="T813" s="2291"/>
      <c r="U813" s="2289"/>
      <c r="V813" s="2289"/>
      <c r="W813" s="2289"/>
      <c r="X813" s="2292"/>
      <c r="Y813" s="2292"/>
      <c r="Z813" s="2289"/>
      <c r="AA813" s="2289"/>
      <c r="AB813" s="2289"/>
      <c r="AC813" s="2289"/>
      <c r="AD813" s="2293"/>
      <c r="AE813" s="2293"/>
      <c r="AF813" s="2293"/>
      <c r="AG813" s="2293"/>
      <c r="AH813" s="2289"/>
      <c r="AI813" s="2289"/>
      <c r="AJ813" s="2294"/>
      <c r="AK813" s="2294"/>
      <c r="AL813" s="2289"/>
      <c r="AM813" s="2289"/>
      <c r="AN813" s="2289"/>
      <c r="AO813" s="2289"/>
      <c r="AP813" s="2289"/>
      <c r="AQ813" s="2289"/>
      <c r="AR813" s="2294"/>
      <c r="AS813" s="2294"/>
      <c r="AT813" s="2295"/>
      <c r="AU813" s="2295"/>
      <c r="AV813" s="2295"/>
      <c r="AW813" s="2295"/>
      <c r="AX813" s="2296"/>
      <c r="AY813" s="2289"/>
      <c r="AZ813" s="2289"/>
      <c r="BA813" s="2289"/>
      <c r="BB813" s="2289"/>
      <c r="BC813" s="2289"/>
      <c r="BD813" s="2289"/>
      <c r="BE813" s="2289"/>
      <c r="BF813" s="2289"/>
      <c r="BG813" s="2289"/>
      <c r="BH813" s="2289"/>
      <c r="BI813" s="2289"/>
      <c r="BJ813" s="2289"/>
      <c r="BK813" s="2289"/>
      <c r="BL813" s="2289"/>
      <c r="BM813" s="2289"/>
      <c r="BN813" s="2289"/>
      <c r="BO813" s="2289"/>
      <c r="BP813" s="2289"/>
      <c r="BQ813" s="2289"/>
      <c r="BR813" s="2289"/>
    </row>
    <row r="814" spans="1:70" ht="15.75" customHeight="1">
      <c r="A814" s="2289"/>
      <c r="B814" s="2289"/>
      <c r="C814" s="2289"/>
      <c r="D814" s="2289"/>
      <c r="E814" s="2289"/>
      <c r="F814" s="2289"/>
      <c r="G814" s="2290"/>
      <c r="H814" s="2289"/>
      <c r="I814" s="2289"/>
      <c r="J814" s="2290"/>
      <c r="K814" s="2289"/>
      <c r="L814" s="2289"/>
      <c r="M814" s="2290"/>
      <c r="N814" s="2290"/>
      <c r="O814" s="2290"/>
      <c r="P814" s="2290"/>
      <c r="Q814" s="2289"/>
      <c r="R814" s="2289"/>
      <c r="S814" s="2289"/>
      <c r="T814" s="2291"/>
      <c r="U814" s="2289"/>
      <c r="V814" s="2289"/>
      <c r="W814" s="2289"/>
      <c r="X814" s="2292"/>
      <c r="Y814" s="2292"/>
      <c r="Z814" s="2289"/>
      <c r="AA814" s="2289"/>
      <c r="AB814" s="2289"/>
      <c r="AC814" s="2289"/>
      <c r="AD814" s="2293"/>
      <c r="AE814" s="2293"/>
      <c r="AF814" s="2293"/>
      <c r="AG814" s="2293"/>
      <c r="AH814" s="2289"/>
      <c r="AI814" s="2289"/>
      <c r="AJ814" s="2294"/>
      <c r="AK814" s="2294"/>
      <c r="AL814" s="2289"/>
      <c r="AM814" s="2289"/>
      <c r="AN814" s="2289"/>
      <c r="AO814" s="2289"/>
      <c r="AP814" s="2289"/>
      <c r="AQ814" s="2289"/>
      <c r="AR814" s="2294"/>
      <c r="AS814" s="2294"/>
      <c r="AT814" s="2295"/>
      <c r="AU814" s="2295"/>
      <c r="AV814" s="2295"/>
      <c r="AW814" s="2295"/>
      <c r="AX814" s="2296"/>
      <c r="AY814" s="2289"/>
      <c r="AZ814" s="2289"/>
      <c r="BA814" s="2289"/>
      <c r="BB814" s="2289"/>
      <c r="BC814" s="2289"/>
      <c r="BD814" s="2289"/>
      <c r="BE814" s="2289"/>
      <c r="BF814" s="2289"/>
      <c r="BG814" s="2289"/>
      <c r="BH814" s="2289"/>
      <c r="BI814" s="2289"/>
      <c r="BJ814" s="2289"/>
      <c r="BK814" s="2289"/>
      <c r="BL814" s="2289"/>
      <c r="BM814" s="2289"/>
      <c r="BN814" s="2289"/>
      <c r="BO814" s="2289"/>
      <c r="BP814" s="2289"/>
      <c r="BQ814" s="2289"/>
      <c r="BR814" s="2289"/>
    </row>
    <row r="815" spans="1:70" ht="15.75" customHeight="1">
      <c r="A815" s="2289"/>
      <c r="B815" s="2289"/>
      <c r="C815" s="2289"/>
      <c r="D815" s="2289"/>
      <c r="E815" s="2289"/>
      <c r="F815" s="2289"/>
      <c r="G815" s="2290"/>
      <c r="H815" s="2289"/>
      <c r="I815" s="2289"/>
      <c r="J815" s="2290"/>
      <c r="K815" s="2289"/>
      <c r="L815" s="2289"/>
      <c r="M815" s="2290"/>
      <c r="N815" s="2290"/>
      <c r="O815" s="2290"/>
      <c r="P815" s="2290"/>
      <c r="Q815" s="2289"/>
      <c r="R815" s="2289"/>
      <c r="S815" s="2289"/>
      <c r="T815" s="2291"/>
      <c r="U815" s="2289"/>
      <c r="V815" s="2289"/>
      <c r="W815" s="2289"/>
      <c r="X815" s="2292"/>
      <c r="Y815" s="2292"/>
      <c r="Z815" s="2289"/>
      <c r="AA815" s="2289"/>
      <c r="AB815" s="2289"/>
      <c r="AC815" s="2289"/>
      <c r="AD815" s="2293"/>
      <c r="AE815" s="2293"/>
      <c r="AF815" s="2293"/>
      <c r="AG815" s="2293"/>
      <c r="AH815" s="2289"/>
      <c r="AI815" s="2289"/>
      <c r="AJ815" s="2294"/>
      <c r="AK815" s="2294"/>
      <c r="AL815" s="2289"/>
      <c r="AM815" s="2289"/>
      <c r="AN815" s="2289"/>
      <c r="AO815" s="2289"/>
      <c r="AP815" s="2289"/>
      <c r="AQ815" s="2289"/>
      <c r="AR815" s="2294"/>
      <c r="AS815" s="2294"/>
      <c r="AT815" s="2295"/>
      <c r="AU815" s="2295"/>
      <c r="AV815" s="2295"/>
      <c r="AW815" s="2295"/>
      <c r="AX815" s="2296"/>
      <c r="AY815" s="2289"/>
      <c r="AZ815" s="2289"/>
      <c r="BA815" s="2289"/>
      <c r="BB815" s="2289"/>
      <c r="BC815" s="2289"/>
      <c r="BD815" s="2289"/>
      <c r="BE815" s="2289"/>
      <c r="BF815" s="2289"/>
      <c r="BG815" s="2289"/>
      <c r="BH815" s="2289"/>
      <c r="BI815" s="2289"/>
      <c r="BJ815" s="2289"/>
      <c r="BK815" s="2289"/>
      <c r="BL815" s="2289"/>
      <c r="BM815" s="2289"/>
      <c r="BN815" s="2289"/>
      <c r="BO815" s="2289"/>
      <c r="BP815" s="2289"/>
      <c r="BQ815" s="2289"/>
      <c r="BR815" s="2289"/>
    </row>
    <row r="816" spans="1:70" ht="15.75" customHeight="1">
      <c r="A816" s="2289"/>
      <c r="B816" s="2289"/>
      <c r="C816" s="2289"/>
      <c r="D816" s="2289"/>
      <c r="E816" s="2289"/>
      <c r="F816" s="2289"/>
      <c r="G816" s="2290"/>
      <c r="H816" s="2289"/>
      <c r="I816" s="2289"/>
      <c r="J816" s="2290"/>
      <c r="K816" s="2289"/>
      <c r="L816" s="2289"/>
      <c r="M816" s="2290"/>
      <c r="N816" s="2290"/>
      <c r="O816" s="2290"/>
      <c r="P816" s="2290"/>
      <c r="Q816" s="2289"/>
      <c r="R816" s="2289"/>
      <c r="S816" s="2289"/>
      <c r="T816" s="2291"/>
      <c r="U816" s="2289"/>
      <c r="V816" s="2289"/>
      <c r="W816" s="2289"/>
      <c r="X816" s="2292"/>
      <c r="Y816" s="2292"/>
      <c r="Z816" s="2289"/>
      <c r="AA816" s="2289"/>
      <c r="AB816" s="2289"/>
      <c r="AC816" s="2289"/>
      <c r="AD816" s="2293"/>
      <c r="AE816" s="2293"/>
      <c r="AF816" s="2293"/>
      <c r="AG816" s="2293"/>
      <c r="AH816" s="2289"/>
      <c r="AI816" s="2289"/>
      <c r="AJ816" s="2294"/>
      <c r="AK816" s="2294"/>
      <c r="AL816" s="2289"/>
      <c r="AM816" s="2289"/>
      <c r="AN816" s="2289"/>
      <c r="AO816" s="2289"/>
      <c r="AP816" s="2289"/>
      <c r="AQ816" s="2289"/>
      <c r="AR816" s="2294"/>
      <c r="AS816" s="2294"/>
      <c r="AT816" s="2295"/>
      <c r="AU816" s="2295"/>
      <c r="AV816" s="2295"/>
      <c r="AW816" s="2295"/>
      <c r="AX816" s="2296"/>
      <c r="AY816" s="2289"/>
      <c r="AZ816" s="2289"/>
      <c r="BA816" s="2289"/>
      <c r="BB816" s="2289"/>
      <c r="BC816" s="2289"/>
      <c r="BD816" s="2289"/>
      <c r="BE816" s="2289"/>
      <c r="BF816" s="2289"/>
      <c r="BG816" s="2289"/>
      <c r="BH816" s="2289"/>
      <c r="BI816" s="2289"/>
      <c r="BJ816" s="2289"/>
      <c r="BK816" s="2289"/>
      <c r="BL816" s="2289"/>
      <c r="BM816" s="2289"/>
      <c r="BN816" s="2289"/>
      <c r="BO816" s="2289"/>
      <c r="BP816" s="2289"/>
      <c r="BQ816" s="2289"/>
      <c r="BR816" s="2289"/>
    </row>
    <row r="817" spans="1:70" ht="15.75" customHeight="1">
      <c r="A817" s="2289"/>
      <c r="B817" s="2289"/>
      <c r="C817" s="2289"/>
      <c r="D817" s="2289"/>
      <c r="E817" s="2289"/>
      <c r="F817" s="2289"/>
      <c r="G817" s="2290"/>
      <c r="H817" s="2289"/>
      <c r="I817" s="2289"/>
      <c r="J817" s="2290"/>
      <c r="K817" s="2289"/>
      <c r="L817" s="2289"/>
      <c r="M817" s="2290"/>
      <c r="N817" s="2290"/>
      <c r="O817" s="2290"/>
      <c r="P817" s="2290"/>
      <c r="Q817" s="2289"/>
      <c r="R817" s="2289"/>
      <c r="S817" s="2289"/>
      <c r="T817" s="2291"/>
      <c r="U817" s="2289"/>
      <c r="V817" s="2289"/>
      <c r="W817" s="2289"/>
      <c r="X817" s="2292"/>
      <c r="Y817" s="2292"/>
      <c r="Z817" s="2289"/>
      <c r="AA817" s="2289"/>
      <c r="AB817" s="2289"/>
      <c r="AC817" s="2289"/>
      <c r="AD817" s="2293"/>
      <c r="AE817" s="2293"/>
      <c r="AF817" s="2293"/>
      <c r="AG817" s="2293"/>
      <c r="AH817" s="2289"/>
      <c r="AI817" s="2289"/>
      <c r="AJ817" s="2294"/>
      <c r="AK817" s="2294"/>
      <c r="AL817" s="2289"/>
      <c r="AM817" s="2289"/>
      <c r="AN817" s="2289"/>
      <c r="AO817" s="2289"/>
      <c r="AP817" s="2289"/>
      <c r="AQ817" s="2289"/>
      <c r="AR817" s="2294"/>
      <c r="AS817" s="2294"/>
      <c r="AT817" s="2295"/>
      <c r="AU817" s="2295"/>
      <c r="AV817" s="2295"/>
      <c r="AW817" s="2295"/>
      <c r="AX817" s="2296"/>
      <c r="AY817" s="2289"/>
      <c r="AZ817" s="2289"/>
      <c r="BA817" s="2289"/>
      <c r="BB817" s="2289"/>
      <c r="BC817" s="2289"/>
      <c r="BD817" s="2289"/>
      <c r="BE817" s="2289"/>
      <c r="BF817" s="2289"/>
      <c r="BG817" s="2289"/>
      <c r="BH817" s="2289"/>
      <c r="BI817" s="2289"/>
      <c r="BJ817" s="2289"/>
      <c r="BK817" s="2289"/>
      <c r="BL817" s="2289"/>
      <c r="BM817" s="2289"/>
      <c r="BN817" s="2289"/>
      <c r="BO817" s="2289"/>
      <c r="BP817" s="2289"/>
      <c r="BQ817" s="2289"/>
      <c r="BR817" s="2289"/>
    </row>
    <row r="818" spans="1:70" ht="15.75" customHeight="1">
      <c r="A818" s="2289"/>
      <c r="B818" s="2289"/>
      <c r="C818" s="2289"/>
      <c r="D818" s="2289"/>
      <c r="E818" s="2289"/>
      <c r="F818" s="2289"/>
      <c r="G818" s="2290"/>
      <c r="H818" s="2289"/>
      <c r="I818" s="2289"/>
      <c r="J818" s="2290"/>
      <c r="K818" s="2289"/>
      <c r="L818" s="2289"/>
      <c r="M818" s="2290"/>
      <c r="N818" s="2290"/>
      <c r="O818" s="2290"/>
      <c r="P818" s="2290"/>
      <c r="Q818" s="2289"/>
      <c r="R818" s="2289"/>
      <c r="S818" s="2289"/>
      <c r="T818" s="2291"/>
      <c r="U818" s="2289"/>
      <c r="V818" s="2289"/>
      <c r="W818" s="2289"/>
      <c r="X818" s="2292"/>
      <c r="Y818" s="2292"/>
      <c r="Z818" s="2289"/>
      <c r="AA818" s="2289"/>
      <c r="AB818" s="2289"/>
      <c r="AC818" s="2289"/>
      <c r="AD818" s="2293"/>
      <c r="AE818" s="2293"/>
      <c r="AF818" s="2293"/>
      <c r="AG818" s="2293"/>
      <c r="AH818" s="2289"/>
      <c r="AI818" s="2289"/>
      <c r="AJ818" s="2294"/>
      <c r="AK818" s="2294"/>
      <c r="AL818" s="2289"/>
      <c r="AM818" s="2289"/>
      <c r="AN818" s="2289"/>
      <c r="AO818" s="2289"/>
      <c r="AP818" s="2289"/>
      <c r="AQ818" s="2289"/>
      <c r="AR818" s="2294"/>
      <c r="AS818" s="2294"/>
      <c r="AT818" s="2295"/>
      <c r="AU818" s="2295"/>
      <c r="AV818" s="2295"/>
      <c r="AW818" s="2295"/>
      <c r="AX818" s="2296"/>
      <c r="AY818" s="2289"/>
      <c r="AZ818" s="2289"/>
      <c r="BA818" s="2289"/>
      <c r="BB818" s="2289"/>
      <c r="BC818" s="2289"/>
      <c r="BD818" s="2289"/>
      <c r="BE818" s="2289"/>
      <c r="BF818" s="2289"/>
      <c r="BG818" s="2289"/>
      <c r="BH818" s="2289"/>
      <c r="BI818" s="2289"/>
      <c r="BJ818" s="2289"/>
      <c r="BK818" s="2289"/>
      <c r="BL818" s="2289"/>
      <c r="BM818" s="2289"/>
      <c r="BN818" s="2289"/>
      <c r="BO818" s="2289"/>
      <c r="BP818" s="2289"/>
      <c r="BQ818" s="2289"/>
      <c r="BR818" s="2289"/>
    </row>
    <row r="819" spans="1:70" ht="15.75" customHeight="1">
      <c r="A819" s="2289"/>
      <c r="B819" s="2289"/>
      <c r="C819" s="2289"/>
      <c r="D819" s="2289"/>
      <c r="E819" s="2289"/>
      <c r="F819" s="2289"/>
      <c r="G819" s="2290"/>
      <c r="H819" s="2289"/>
      <c r="I819" s="2289"/>
      <c r="J819" s="2290"/>
      <c r="K819" s="2289"/>
      <c r="L819" s="2289"/>
      <c r="M819" s="2290"/>
      <c r="N819" s="2290"/>
      <c r="O819" s="2290"/>
      <c r="P819" s="2290"/>
      <c r="Q819" s="2289"/>
      <c r="R819" s="2289"/>
      <c r="S819" s="2289"/>
      <c r="T819" s="2291"/>
      <c r="U819" s="2289"/>
      <c r="V819" s="2289"/>
      <c r="W819" s="2289"/>
      <c r="X819" s="2292"/>
      <c r="Y819" s="2292"/>
      <c r="Z819" s="2289"/>
      <c r="AA819" s="2289"/>
      <c r="AB819" s="2289"/>
      <c r="AC819" s="2289"/>
      <c r="AD819" s="2293"/>
      <c r="AE819" s="2293"/>
      <c r="AF819" s="2293"/>
      <c r="AG819" s="2293"/>
      <c r="AH819" s="2289"/>
      <c r="AI819" s="2289"/>
      <c r="AJ819" s="2294"/>
      <c r="AK819" s="2294"/>
      <c r="AL819" s="2289"/>
      <c r="AM819" s="2289"/>
      <c r="AN819" s="2289"/>
      <c r="AO819" s="2289"/>
      <c r="AP819" s="2289"/>
      <c r="AQ819" s="2289"/>
      <c r="AR819" s="2294"/>
      <c r="AS819" s="2294"/>
      <c r="AT819" s="2295"/>
      <c r="AU819" s="2295"/>
      <c r="AV819" s="2295"/>
      <c r="AW819" s="2295"/>
      <c r="AX819" s="2296"/>
      <c r="AY819" s="2289"/>
      <c r="AZ819" s="2289"/>
      <c r="BA819" s="2289"/>
      <c r="BB819" s="2289"/>
      <c r="BC819" s="2289"/>
      <c r="BD819" s="2289"/>
      <c r="BE819" s="2289"/>
      <c r="BF819" s="2289"/>
      <c r="BG819" s="2289"/>
      <c r="BH819" s="2289"/>
      <c r="BI819" s="2289"/>
      <c r="BJ819" s="2289"/>
      <c r="BK819" s="2289"/>
      <c r="BL819" s="2289"/>
      <c r="BM819" s="2289"/>
      <c r="BN819" s="2289"/>
      <c r="BO819" s="2289"/>
      <c r="BP819" s="2289"/>
      <c r="BQ819" s="2289"/>
      <c r="BR819" s="2289"/>
    </row>
    <row r="820" spans="1:70" ht="15.75" customHeight="1">
      <c r="A820" s="2289"/>
      <c r="B820" s="2289"/>
      <c r="C820" s="2289"/>
      <c r="D820" s="2289"/>
      <c r="E820" s="2289"/>
      <c r="F820" s="2289"/>
      <c r="G820" s="2290"/>
      <c r="H820" s="2289"/>
      <c r="I820" s="2289"/>
      <c r="J820" s="2290"/>
      <c r="K820" s="2289"/>
      <c r="L820" s="2289"/>
      <c r="M820" s="2290"/>
      <c r="N820" s="2290"/>
      <c r="O820" s="2290"/>
      <c r="P820" s="2290"/>
      <c r="Q820" s="2289"/>
      <c r="R820" s="2289"/>
      <c r="S820" s="2289"/>
      <c r="T820" s="2291"/>
      <c r="U820" s="2289"/>
      <c r="V820" s="2289"/>
      <c r="W820" s="2289"/>
      <c r="X820" s="2292"/>
      <c r="Y820" s="2292"/>
      <c r="Z820" s="2289"/>
      <c r="AA820" s="2289"/>
      <c r="AB820" s="2289"/>
      <c r="AC820" s="2289"/>
      <c r="AD820" s="2293"/>
      <c r="AE820" s="2293"/>
      <c r="AF820" s="2293"/>
      <c r="AG820" s="2293"/>
      <c r="AH820" s="2289"/>
      <c r="AI820" s="2289"/>
      <c r="AJ820" s="2294"/>
      <c r="AK820" s="2294"/>
      <c r="AL820" s="2289"/>
      <c r="AM820" s="2289"/>
      <c r="AN820" s="2289"/>
      <c r="AO820" s="2289"/>
      <c r="AP820" s="2289"/>
      <c r="AQ820" s="2289"/>
      <c r="AR820" s="2294"/>
      <c r="AS820" s="2294"/>
      <c r="AT820" s="2295"/>
      <c r="AU820" s="2295"/>
      <c r="AV820" s="2295"/>
      <c r="AW820" s="2295"/>
      <c r="AX820" s="2296"/>
      <c r="AY820" s="2289"/>
      <c r="AZ820" s="2289"/>
      <c r="BA820" s="2289"/>
      <c r="BB820" s="2289"/>
      <c r="BC820" s="2289"/>
      <c r="BD820" s="2289"/>
      <c r="BE820" s="2289"/>
      <c r="BF820" s="2289"/>
      <c r="BG820" s="2289"/>
      <c r="BH820" s="2289"/>
      <c r="BI820" s="2289"/>
      <c r="BJ820" s="2289"/>
      <c r="BK820" s="2289"/>
      <c r="BL820" s="2289"/>
      <c r="BM820" s="2289"/>
      <c r="BN820" s="2289"/>
      <c r="BO820" s="2289"/>
      <c r="BP820" s="2289"/>
      <c r="BQ820" s="2289"/>
      <c r="BR820" s="2289"/>
    </row>
    <row r="821" spans="1:70" ht="15.75" customHeight="1">
      <c r="A821" s="2289"/>
      <c r="B821" s="2289"/>
      <c r="C821" s="2289"/>
      <c r="D821" s="2289"/>
      <c r="E821" s="2289"/>
      <c r="F821" s="2289"/>
      <c r="G821" s="2290"/>
      <c r="H821" s="2289"/>
      <c r="I821" s="2289"/>
      <c r="J821" s="2290"/>
      <c r="K821" s="2289"/>
      <c r="L821" s="2289"/>
      <c r="M821" s="2290"/>
      <c r="N821" s="2290"/>
      <c r="O821" s="2290"/>
      <c r="P821" s="2290"/>
      <c r="Q821" s="2289"/>
      <c r="R821" s="2289"/>
      <c r="S821" s="2289"/>
      <c r="T821" s="2291"/>
      <c r="U821" s="2289"/>
      <c r="V821" s="2289"/>
      <c r="W821" s="2289"/>
      <c r="X821" s="2292"/>
      <c r="Y821" s="2292"/>
      <c r="Z821" s="2289"/>
      <c r="AA821" s="2289"/>
      <c r="AB821" s="2289"/>
      <c r="AC821" s="2289"/>
      <c r="AD821" s="2293"/>
      <c r="AE821" s="2293"/>
      <c r="AF821" s="2293"/>
      <c r="AG821" s="2293"/>
      <c r="AH821" s="2289"/>
      <c r="AI821" s="2289"/>
      <c r="AJ821" s="2294"/>
      <c r="AK821" s="2294"/>
      <c r="AL821" s="2289"/>
      <c r="AM821" s="2289"/>
      <c r="AN821" s="2289"/>
      <c r="AO821" s="2289"/>
      <c r="AP821" s="2289"/>
      <c r="AQ821" s="2289"/>
      <c r="AR821" s="2294"/>
      <c r="AS821" s="2294"/>
      <c r="AT821" s="2295"/>
      <c r="AU821" s="2295"/>
      <c r="AV821" s="2295"/>
      <c r="AW821" s="2295"/>
      <c r="AX821" s="2296"/>
      <c r="AY821" s="2289"/>
      <c r="AZ821" s="2289"/>
      <c r="BA821" s="2289"/>
      <c r="BB821" s="2289"/>
      <c r="BC821" s="2289"/>
      <c r="BD821" s="2289"/>
      <c r="BE821" s="2289"/>
      <c r="BF821" s="2289"/>
      <c r="BG821" s="2289"/>
      <c r="BH821" s="2289"/>
      <c r="BI821" s="2289"/>
      <c r="BJ821" s="2289"/>
      <c r="BK821" s="2289"/>
      <c r="BL821" s="2289"/>
      <c r="BM821" s="2289"/>
      <c r="BN821" s="2289"/>
      <c r="BO821" s="2289"/>
      <c r="BP821" s="2289"/>
      <c r="BQ821" s="2289"/>
      <c r="BR821" s="2289"/>
    </row>
    <row r="822" spans="1:70" ht="15.75" customHeight="1">
      <c r="A822" s="2289"/>
      <c r="B822" s="2289"/>
      <c r="C822" s="2289"/>
      <c r="D822" s="2289"/>
      <c r="E822" s="2289"/>
      <c r="F822" s="2289"/>
      <c r="G822" s="2290"/>
      <c r="H822" s="2289"/>
      <c r="I822" s="2289"/>
      <c r="J822" s="2290"/>
      <c r="K822" s="2289"/>
      <c r="L822" s="2289"/>
      <c r="M822" s="2290"/>
      <c r="N822" s="2290"/>
      <c r="O822" s="2290"/>
      <c r="P822" s="2290"/>
      <c r="Q822" s="2289"/>
      <c r="R822" s="2289"/>
      <c r="S822" s="2289"/>
      <c r="T822" s="2291"/>
      <c r="U822" s="2289"/>
      <c r="V822" s="2289"/>
      <c r="W822" s="2289"/>
      <c r="X822" s="2292"/>
      <c r="Y822" s="2292"/>
      <c r="Z822" s="2289"/>
      <c r="AA822" s="2289"/>
      <c r="AB822" s="2289"/>
      <c r="AC822" s="2289"/>
      <c r="AD822" s="2293"/>
      <c r="AE822" s="2293"/>
      <c r="AF822" s="2293"/>
      <c r="AG822" s="2293"/>
      <c r="AH822" s="2289"/>
      <c r="AI822" s="2289"/>
      <c r="AJ822" s="2294"/>
      <c r="AK822" s="2294"/>
      <c r="AL822" s="2289"/>
      <c r="AM822" s="2289"/>
      <c r="AN822" s="2289"/>
      <c r="AO822" s="2289"/>
      <c r="AP822" s="2289"/>
      <c r="AQ822" s="2289"/>
      <c r="AR822" s="2294"/>
      <c r="AS822" s="2294"/>
      <c r="AT822" s="2295"/>
      <c r="AU822" s="2295"/>
      <c r="AV822" s="2295"/>
      <c r="AW822" s="2295"/>
      <c r="AX822" s="2296"/>
      <c r="AY822" s="2289"/>
      <c r="AZ822" s="2289"/>
      <c r="BA822" s="2289"/>
      <c r="BB822" s="2289"/>
      <c r="BC822" s="2289"/>
      <c r="BD822" s="2289"/>
      <c r="BE822" s="2289"/>
      <c r="BF822" s="2289"/>
      <c r="BG822" s="2289"/>
      <c r="BH822" s="2289"/>
      <c r="BI822" s="2289"/>
      <c r="BJ822" s="2289"/>
      <c r="BK822" s="2289"/>
      <c r="BL822" s="2289"/>
      <c r="BM822" s="2289"/>
      <c r="BN822" s="2289"/>
      <c r="BO822" s="2289"/>
      <c r="BP822" s="2289"/>
      <c r="BQ822" s="2289"/>
      <c r="BR822" s="2289"/>
    </row>
    <row r="823" spans="1:70" ht="15.75" customHeight="1">
      <c r="A823" s="2289"/>
      <c r="B823" s="2289"/>
      <c r="C823" s="2289"/>
      <c r="D823" s="2289"/>
      <c r="E823" s="2289"/>
      <c r="F823" s="2289"/>
      <c r="G823" s="2290"/>
      <c r="H823" s="2289"/>
      <c r="I823" s="2289"/>
      <c r="J823" s="2290"/>
      <c r="K823" s="2289"/>
      <c r="L823" s="2289"/>
      <c r="M823" s="2290"/>
      <c r="N823" s="2290"/>
      <c r="O823" s="2290"/>
      <c r="P823" s="2290"/>
      <c r="Q823" s="2289"/>
      <c r="R823" s="2289"/>
      <c r="S823" s="2289"/>
      <c r="T823" s="2291"/>
      <c r="U823" s="2289"/>
      <c r="V823" s="2289"/>
      <c r="W823" s="2289"/>
      <c r="X823" s="2292"/>
      <c r="Y823" s="2292"/>
      <c r="Z823" s="2289"/>
      <c r="AA823" s="2289"/>
      <c r="AB823" s="2289"/>
      <c r="AC823" s="2289"/>
      <c r="AD823" s="2293"/>
      <c r="AE823" s="2293"/>
      <c r="AF823" s="2293"/>
      <c r="AG823" s="2293"/>
      <c r="AH823" s="2289"/>
      <c r="AI823" s="2289"/>
      <c r="AJ823" s="2294"/>
      <c r="AK823" s="2294"/>
      <c r="AL823" s="2289"/>
      <c r="AM823" s="2289"/>
      <c r="AN823" s="2289"/>
      <c r="AO823" s="2289"/>
      <c r="AP823" s="2289"/>
      <c r="AQ823" s="2289"/>
      <c r="AR823" s="2294"/>
      <c r="AS823" s="2294"/>
      <c r="AT823" s="2295"/>
      <c r="AU823" s="2295"/>
      <c r="AV823" s="2295"/>
      <c r="AW823" s="2295"/>
      <c r="AX823" s="2296"/>
      <c r="AY823" s="2289"/>
      <c r="AZ823" s="2289"/>
      <c r="BA823" s="2289"/>
      <c r="BB823" s="2289"/>
      <c r="BC823" s="2289"/>
      <c r="BD823" s="2289"/>
      <c r="BE823" s="2289"/>
      <c r="BF823" s="2289"/>
      <c r="BG823" s="2289"/>
      <c r="BH823" s="2289"/>
      <c r="BI823" s="2289"/>
      <c r="BJ823" s="2289"/>
      <c r="BK823" s="2289"/>
      <c r="BL823" s="2289"/>
      <c r="BM823" s="2289"/>
      <c r="BN823" s="2289"/>
      <c r="BO823" s="2289"/>
      <c r="BP823" s="2289"/>
      <c r="BQ823" s="2289"/>
      <c r="BR823" s="2289"/>
    </row>
    <row r="824" spans="1:70" ht="15.75" customHeight="1">
      <c r="A824" s="2289"/>
      <c r="B824" s="2289"/>
      <c r="C824" s="2289"/>
      <c r="D824" s="2289"/>
      <c r="E824" s="2289"/>
      <c r="F824" s="2289"/>
      <c r="G824" s="2290"/>
      <c r="H824" s="2289"/>
      <c r="I824" s="2289"/>
      <c r="J824" s="2290"/>
      <c r="K824" s="2289"/>
      <c r="L824" s="2289"/>
      <c r="M824" s="2290"/>
      <c r="N824" s="2290"/>
      <c r="O824" s="2290"/>
      <c r="P824" s="2290"/>
      <c r="Q824" s="2289"/>
      <c r="R824" s="2289"/>
      <c r="S824" s="2289"/>
      <c r="T824" s="2291"/>
      <c r="U824" s="2289"/>
      <c r="V824" s="2289"/>
      <c r="W824" s="2289"/>
      <c r="X824" s="2292"/>
      <c r="Y824" s="2292"/>
      <c r="Z824" s="2289"/>
      <c r="AA824" s="2289"/>
      <c r="AB824" s="2289"/>
      <c r="AC824" s="2289"/>
      <c r="AD824" s="2293"/>
      <c r="AE824" s="2293"/>
      <c r="AF824" s="2293"/>
      <c r="AG824" s="2293"/>
      <c r="AH824" s="2289"/>
      <c r="AI824" s="2289"/>
      <c r="AJ824" s="2294"/>
      <c r="AK824" s="2294"/>
      <c r="AL824" s="2289"/>
      <c r="AM824" s="2289"/>
      <c r="AN824" s="2289"/>
      <c r="AO824" s="2289"/>
      <c r="AP824" s="2289"/>
      <c r="AQ824" s="2289"/>
      <c r="AR824" s="2294"/>
      <c r="AS824" s="2294"/>
      <c r="AT824" s="2295"/>
      <c r="AU824" s="2295"/>
      <c r="AV824" s="2295"/>
      <c r="AW824" s="2295"/>
      <c r="AX824" s="2296"/>
      <c r="AY824" s="2289"/>
      <c r="AZ824" s="2289"/>
      <c r="BA824" s="2289"/>
      <c r="BB824" s="2289"/>
      <c r="BC824" s="2289"/>
      <c r="BD824" s="2289"/>
      <c r="BE824" s="2289"/>
      <c r="BF824" s="2289"/>
      <c r="BG824" s="2289"/>
      <c r="BH824" s="2289"/>
      <c r="BI824" s="2289"/>
      <c r="BJ824" s="2289"/>
      <c r="BK824" s="2289"/>
      <c r="BL824" s="2289"/>
      <c r="BM824" s="2289"/>
      <c r="BN824" s="2289"/>
      <c r="BO824" s="2289"/>
      <c r="BP824" s="2289"/>
      <c r="BQ824" s="2289"/>
      <c r="BR824" s="2289"/>
    </row>
    <row r="825" spans="1:70" ht="15.75" customHeight="1">
      <c r="A825" s="2289"/>
      <c r="B825" s="2289"/>
      <c r="C825" s="2289"/>
      <c r="D825" s="2289"/>
      <c r="E825" s="2289"/>
      <c r="F825" s="2289"/>
      <c r="G825" s="2290"/>
      <c r="H825" s="2289"/>
      <c r="I825" s="2289"/>
      <c r="J825" s="2290"/>
      <c r="K825" s="2289"/>
      <c r="L825" s="2289"/>
      <c r="M825" s="2290"/>
      <c r="N825" s="2290"/>
      <c r="O825" s="2290"/>
      <c r="P825" s="2290"/>
      <c r="Q825" s="2289"/>
      <c r="R825" s="2289"/>
      <c r="S825" s="2289"/>
      <c r="T825" s="2291"/>
      <c r="U825" s="2289"/>
      <c r="V825" s="2289"/>
      <c r="W825" s="2289"/>
      <c r="X825" s="2292"/>
      <c r="Y825" s="2292"/>
      <c r="Z825" s="2289"/>
      <c r="AA825" s="2289"/>
      <c r="AB825" s="2289"/>
      <c r="AC825" s="2289"/>
      <c r="AD825" s="2293"/>
      <c r="AE825" s="2293"/>
      <c r="AF825" s="2293"/>
      <c r="AG825" s="2293"/>
      <c r="AH825" s="2289"/>
      <c r="AI825" s="2289"/>
      <c r="AJ825" s="2294"/>
      <c r="AK825" s="2294"/>
      <c r="AL825" s="2289"/>
      <c r="AM825" s="2289"/>
      <c r="AN825" s="2289"/>
      <c r="AO825" s="2289"/>
      <c r="AP825" s="2289"/>
      <c r="AQ825" s="2289"/>
      <c r="AR825" s="2294"/>
      <c r="AS825" s="2294"/>
      <c r="AT825" s="2295"/>
      <c r="AU825" s="2295"/>
      <c r="AV825" s="2295"/>
      <c r="AW825" s="2295"/>
      <c r="AX825" s="2296"/>
      <c r="AY825" s="2289"/>
      <c r="AZ825" s="2289"/>
      <c r="BA825" s="2289"/>
      <c r="BB825" s="2289"/>
      <c r="BC825" s="2289"/>
      <c r="BD825" s="2289"/>
      <c r="BE825" s="2289"/>
      <c r="BF825" s="2289"/>
      <c r="BG825" s="2289"/>
      <c r="BH825" s="2289"/>
      <c r="BI825" s="2289"/>
      <c r="BJ825" s="2289"/>
      <c r="BK825" s="2289"/>
      <c r="BL825" s="2289"/>
      <c r="BM825" s="2289"/>
      <c r="BN825" s="2289"/>
      <c r="BO825" s="2289"/>
      <c r="BP825" s="2289"/>
      <c r="BQ825" s="2289"/>
      <c r="BR825" s="2289"/>
    </row>
    <row r="826" spans="1:70" ht="15.75" customHeight="1">
      <c r="A826" s="2289"/>
      <c r="B826" s="2289"/>
      <c r="C826" s="2289"/>
      <c r="D826" s="2289"/>
      <c r="E826" s="2289"/>
      <c r="F826" s="2289"/>
      <c r="G826" s="2290"/>
      <c r="H826" s="2289"/>
      <c r="I826" s="2289"/>
      <c r="J826" s="2290"/>
      <c r="K826" s="2289"/>
      <c r="L826" s="2289"/>
      <c r="M826" s="2290"/>
      <c r="N826" s="2290"/>
      <c r="O826" s="2290"/>
      <c r="P826" s="2290"/>
      <c r="Q826" s="2289"/>
      <c r="R826" s="2289"/>
      <c r="S826" s="2289"/>
      <c r="T826" s="2291"/>
      <c r="U826" s="2289"/>
      <c r="V826" s="2289"/>
      <c r="W826" s="2289"/>
      <c r="X826" s="2292"/>
      <c r="Y826" s="2292"/>
      <c r="Z826" s="2289"/>
      <c r="AA826" s="2289"/>
      <c r="AB826" s="2289"/>
      <c r="AC826" s="2289"/>
      <c r="AD826" s="2293"/>
      <c r="AE826" s="2293"/>
      <c r="AF826" s="2293"/>
      <c r="AG826" s="2293"/>
      <c r="AH826" s="2289"/>
      <c r="AI826" s="2289"/>
      <c r="AJ826" s="2294"/>
      <c r="AK826" s="2294"/>
      <c r="AL826" s="2289"/>
      <c r="AM826" s="2289"/>
      <c r="AN826" s="2289"/>
      <c r="AO826" s="2289"/>
      <c r="AP826" s="2289"/>
      <c r="AQ826" s="2289"/>
      <c r="AR826" s="2294"/>
      <c r="AS826" s="2294"/>
      <c r="AT826" s="2295"/>
      <c r="AU826" s="2295"/>
      <c r="AV826" s="2295"/>
      <c r="AW826" s="2295"/>
      <c r="AX826" s="2296"/>
      <c r="AY826" s="2289"/>
      <c r="AZ826" s="2289"/>
      <c r="BA826" s="2289"/>
      <c r="BB826" s="2289"/>
      <c r="BC826" s="2289"/>
      <c r="BD826" s="2289"/>
      <c r="BE826" s="2289"/>
      <c r="BF826" s="2289"/>
      <c r="BG826" s="2289"/>
      <c r="BH826" s="2289"/>
      <c r="BI826" s="2289"/>
      <c r="BJ826" s="2289"/>
      <c r="BK826" s="2289"/>
      <c r="BL826" s="2289"/>
      <c r="BM826" s="2289"/>
      <c r="BN826" s="2289"/>
      <c r="BO826" s="2289"/>
      <c r="BP826" s="2289"/>
      <c r="BQ826" s="2289"/>
      <c r="BR826" s="2289"/>
    </row>
    <row r="827" spans="1:70" ht="15.75" customHeight="1">
      <c r="A827" s="2289"/>
      <c r="B827" s="2289"/>
      <c r="C827" s="2289"/>
      <c r="D827" s="2289"/>
      <c r="E827" s="2289"/>
      <c r="F827" s="2289"/>
      <c r="G827" s="2290"/>
      <c r="H827" s="2289"/>
      <c r="I827" s="2289"/>
      <c r="J827" s="2290"/>
      <c r="K827" s="2289"/>
      <c r="L827" s="2289"/>
      <c r="M827" s="2290"/>
      <c r="N827" s="2290"/>
      <c r="O827" s="2290"/>
      <c r="P827" s="2290"/>
      <c r="Q827" s="2289"/>
      <c r="R827" s="2289"/>
      <c r="S827" s="2289"/>
      <c r="T827" s="2291"/>
      <c r="U827" s="2289"/>
      <c r="V827" s="2289"/>
      <c r="W827" s="2289"/>
      <c r="X827" s="2292"/>
      <c r="Y827" s="2292"/>
      <c r="Z827" s="2289"/>
      <c r="AA827" s="2289"/>
      <c r="AB827" s="2289"/>
      <c r="AC827" s="2289"/>
      <c r="AD827" s="2293"/>
      <c r="AE827" s="2293"/>
      <c r="AF827" s="2293"/>
      <c r="AG827" s="2293"/>
      <c r="AH827" s="2289"/>
      <c r="AI827" s="2289"/>
      <c r="AJ827" s="2294"/>
      <c r="AK827" s="2294"/>
      <c r="AL827" s="2289"/>
      <c r="AM827" s="2289"/>
      <c r="AN827" s="2289"/>
      <c r="AO827" s="2289"/>
      <c r="AP827" s="2289"/>
      <c r="AQ827" s="2289"/>
      <c r="AR827" s="2294"/>
      <c r="AS827" s="2294"/>
      <c r="AT827" s="2295"/>
      <c r="AU827" s="2295"/>
      <c r="AV827" s="2295"/>
      <c r="AW827" s="2295"/>
      <c r="AX827" s="2296"/>
      <c r="AY827" s="2289"/>
      <c r="AZ827" s="2289"/>
      <c r="BA827" s="2289"/>
      <c r="BB827" s="2289"/>
      <c r="BC827" s="2289"/>
      <c r="BD827" s="2289"/>
      <c r="BE827" s="2289"/>
      <c r="BF827" s="2289"/>
      <c r="BG827" s="2289"/>
      <c r="BH827" s="2289"/>
      <c r="BI827" s="2289"/>
      <c r="BJ827" s="2289"/>
      <c r="BK827" s="2289"/>
      <c r="BL827" s="2289"/>
      <c r="BM827" s="2289"/>
      <c r="BN827" s="2289"/>
      <c r="BO827" s="2289"/>
      <c r="BP827" s="2289"/>
      <c r="BQ827" s="2289"/>
      <c r="BR827" s="2289"/>
    </row>
    <row r="828" spans="1:70" ht="15.75" customHeight="1">
      <c r="A828" s="2289"/>
      <c r="B828" s="2289"/>
      <c r="C828" s="2289"/>
      <c r="D828" s="2289"/>
      <c r="E828" s="2289"/>
      <c r="F828" s="2289"/>
      <c r="G828" s="2290"/>
      <c r="H828" s="2289"/>
      <c r="I828" s="2289"/>
      <c r="J828" s="2290"/>
      <c r="K828" s="2289"/>
      <c r="L828" s="2289"/>
      <c r="M828" s="2290"/>
      <c r="N828" s="2290"/>
      <c r="O828" s="2290"/>
      <c r="P828" s="2290"/>
      <c r="Q828" s="2289"/>
      <c r="R828" s="2289"/>
      <c r="S828" s="2289"/>
      <c r="T828" s="2291"/>
      <c r="U828" s="2289"/>
      <c r="V828" s="2289"/>
      <c r="W828" s="2289"/>
      <c r="X828" s="2292"/>
      <c r="Y828" s="2292"/>
      <c r="Z828" s="2289"/>
      <c r="AA828" s="2289"/>
      <c r="AB828" s="2289"/>
      <c r="AC828" s="2289"/>
      <c r="AD828" s="2293"/>
      <c r="AE828" s="2293"/>
      <c r="AF828" s="2293"/>
      <c r="AG828" s="2293"/>
      <c r="AH828" s="2289"/>
      <c r="AI828" s="2289"/>
      <c r="AJ828" s="2294"/>
      <c r="AK828" s="2294"/>
      <c r="AL828" s="2289"/>
      <c r="AM828" s="2289"/>
      <c r="AN828" s="2289"/>
      <c r="AO828" s="2289"/>
      <c r="AP828" s="2289"/>
      <c r="AQ828" s="2289"/>
      <c r="AR828" s="2294"/>
      <c r="AS828" s="2294"/>
      <c r="AT828" s="2295"/>
      <c r="AU828" s="2295"/>
      <c r="AV828" s="2295"/>
      <c r="AW828" s="2295"/>
      <c r="AX828" s="2296"/>
      <c r="AY828" s="2289"/>
      <c r="AZ828" s="2289"/>
      <c r="BA828" s="2289"/>
      <c r="BB828" s="2289"/>
      <c r="BC828" s="2289"/>
      <c r="BD828" s="2289"/>
      <c r="BE828" s="2289"/>
      <c r="BF828" s="2289"/>
      <c r="BG828" s="2289"/>
      <c r="BH828" s="2289"/>
      <c r="BI828" s="2289"/>
      <c r="BJ828" s="2289"/>
      <c r="BK828" s="2289"/>
      <c r="BL828" s="2289"/>
      <c r="BM828" s="2289"/>
      <c r="BN828" s="2289"/>
      <c r="BO828" s="2289"/>
      <c r="BP828" s="2289"/>
      <c r="BQ828" s="2289"/>
      <c r="BR828" s="2289"/>
    </row>
    <row r="829" spans="1:70" ht="15.75" customHeight="1">
      <c r="A829" s="2289"/>
      <c r="B829" s="2289"/>
      <c r="C829" s="2289"/>
      <c r="D829" s="2289"/>
      <c r="E829" s="2289"/>
      <c r="F829" s="2289"/>
      <c r="G829" s="2290"/>
      <c r="H829" s="2289"/>
      <c r="I829" s="2289"/>
      <c r="J829" s="2290"/>
      <c r="K829" s="2289"/>
      <c r="L829" s="2289"/>
      <c r="M829" s="2290"/>
      <c r="N829" s="2290"/>
      <c r="O829" s="2290"/>
      <c r="P829" s="2290"/>
      <c r="Q829" s="2289"/>
      <c r="R829" s="2289"/>
      <c r="S829" s="2289"/>
      <c r="T829" s="2291"/>
      <c r="U829" s="2289"/>
      <c r="V829" s="2289"/>
      <c r="W829" s="2289"/>
      <c r="X829" s="2292"/>
      <c r="Y829" s="2292"/>
      <c r="Z829" s="2289"/>
      <c r="AA829" s="2289"/>
      <c r="AB829" s="2289"/>
      <c r="AC829" s="2289"/>
      <c r="AD829" s="2293"/>
      <c r="AE829" s="2293"/>
      <c r="AF829" s="2293"/>
      <c r="AG829" s="2293"/>
      <c r="AH829" s="2289"/>
      <c r="AI829" s="2289"/>
      <c r="AJ829" s="2294"/>
      <c r="AK829" s="2294"/>
      <c r="AL829" s="2289"/>
      <c r="AM829" s="2289"/>
      <c r="AN829" s="2289"/>
      <c r="AO829" s="2289"/>
      <c r="AP829" s="2289"/>
      <c r="AQ829" s="2289"/>
      <c r="AR829" s="2294"/>
      <c r="AS829" s="2294"/>
      <c r="AT829" s="2295"/>
      <c r="AU829" s="2295"/>
      <c r="AV829" s="2295"/>
      <c r="AW829" s="2295"/>
      <c r="AX829" s="2296"/>
      <c r="AY829" s="2289"/>
      <c r="AZ829" s="2289"/>
      <c r="BA829" s="2289"/>
      <c r="BB829" s="2289"/>
      <c r="BC829" s="2289"/>
      <c r="BD829" s="2289"/>
      <c r="BE829" s="2289"/>
      <c r="BF829" s="2289"/>
      <c r="BG829" s="2289"/>
      <c r="BH829" s="2289"/>
      <c r="BI829" s="2289"/>
      <c r="BJ829" s="2289"/>
      <c r="BK829" s="2289"/>
      <c r="BL829" s="2289"/>
      <c r="BM829" s="2289"/>
      <c r="BN829" s="2289"/>
      <c r="BO829" s="2289"/>
      <c r="BP829" s="2289"/>
      <c r="BQ829" s="2289"/>
      <c r="BR829" s="2289"/>
    </row>
    <row r="830" spans="1:70" ht="15.75" customHeight="1">
      <c r="A830" s="2289"/>
      <c r="B830" s="2289"/>
      <c r="C830" s="2289"/>
      <c r="D830" s="2289"/>
      <c r="E830" s="2289"/>
      <c r="F830" s="2289"/>
      <c r="G830" s="2290"/>
      <c r="H830" s="2289"/>
      <c r="I830" s="2289"/>
      <c r="J830" s="2290"/>
      <c r="K830" s="2289"/>
      <c r="L830" s="2289"/>
      <c r="M830" s="2290"/>
      <c r="N830" s="2290"/>
      <c r="O830" s="2290"/>
      <c r="P830" s="2290"/>
      <c r="Q830" s="2289"/>
      <c r="R830" s="2289"/>
      <c r="S830" s="2289"/>
      <c r="T830" s="2291"/>
      <c r="U830" s="2289"/>
      <c r="V830" s="2289"/>
      <c r="W830" s="2289"/>
      <c r="X830" s="2292"/>
      <c r="Y830" s="2292"/>
      <c r="Z830" s="2289"/>
      <c r="AA830" s="2289"/>
      <c r="AB830" s="2289"/>
      <c r="AC830" s="2289"/>
      <c r="AD830" s="2293"/>
      <c r="AE830" s="2293"/>
      <c r="AF830" s="2293"/>
      <c r="AG830" s="2293"/>
      <c r="AH830" s="2289"/>
      <c r="AI830" s="2289"/>
      <c r="AJ830" s="2294"/>
      <c r="AK830" s="2294"/>
      <c r="AL830" s="2289"/>
      <c r="AM830" s="2289"/>
      <c r="AN830" s="2289"/>
      <c r="AO830" s="2289"/>
      <c r="AP830" s="2289"/>
      <c r="AQ830" s="2289"/>
      <c r="AR830" s="2294"/>
      <c r="AS830" s="2294"/>
      <c r="AT830" s="2295"/>
      <c r="AU830" s="2295"/>
      <c r="AV830" s="2295"/>
      <c r="AW830" s="2295"/>
      <c r="AX830" s="2296"/>
      <c r="AY830" s="2289"/>
      <c r="AZ830" s="2289"/>
      <c r="BA830" s="2289"/>
      <c r="BB830" s="2289"/>
      <c r="BC830" s="2289"/>
      <c r="BD830" s="2289"/>
      <c r="BE830" s="2289"/>
      <c r="BF830" s="2289"/>
      <c r="BG830" s="2289"/>
      <c r="BH830" s="2289"/>
      <c r="BI830" s="2289"/>
      <c r="BJ830" s="2289"/>
      <c r="BK830" s="2289"/>
      <c r="BL830" s="2289"/>
      <c r="BM830" s="2289"/>
      <c r="BN830" s="2289"/>
      <c r="BO830" s="2289"/>
      <c r="BP830" s="2289"/>
      <c r="BQ830" s="2289"/>
      <c r="BR830" s="2289"/>
    </row>
    <row r="831" spans="1:70" ht="15.75" customHeight="1">
      <c r="A831" s="2289"/>
      <c r="B831" s="2289"/>
      <c r="C831" s="2289"/>
      <c r="D831" s="2289"/>
      <c r="E831" s="2289"/>
      <c r="F831" s="2289"/>
      <c r="G831" s="2290"/>
      <c r="H831" s="2289"/>
      <c r="I831" s="2289"/>
      <c r="J831" s="2290"/>
      <c r="K831" s="2289"/>
      <c r="L831" s="2289"/>
      <c r="M831" s="2290"/>
      <c r="N831" s="2290"/>
      <c r="O831" s="2290"/>
      <c r="P831" s="2290"/>
      <c r="Q831" s="2289"/>
      <c r="R831" s="2289"/>
      <c r="S831" s="2289"/>
      <c r="T831" s="2291"/>
      <c r="U831" s="2289"/>
      <c r="V831" s="2289"/>
      <c r="W831" s="2289"/>
      <c r="X831" s="2292"/>
      <c r="Y831" s="2292"/>
      <c r="Z831" s="2289"/>
      <c r="AA831" s="2289"/>
      <c r="AB831" s="2289"/>
      <c r="AC831" s="2289"/>
      <c r="AD831" s="2293"/>
      <c r="AE831" s="2293"/>
      <c r="AF831" s="2293"/>
      <c r="AG831" s="2293"/>
      <c r="AH831" s="2289"/>
      <c r="AI831" s="2289"/>
      <c r="AJ831" s="2294"/>
      <c r="AK831" s="2294"/>
      <c r="AL831" s="2289"/>
      <c r="AM831" s="2289"/>
      <c r="AN831" s="2289"/>
      <c r="AO831" s="2289"/>
      <c r="AP831" s="2289"/>
      <c r="AQ831" s="2289"/>
      <c r="AR831" s="2294"/>
      <c r="AS831" s="2294"/>
      <c r="AT831" s="2295"/>
      <c r="AU831" s="2295"/>
      <c r="AV831" s="2295"/>
      <c r="AW831" s="2295"/>
      <c r="AX831" s="2296"/>
      <c r="AY831" s="2289"/>
      <c r="AZ831" s="2289"/>
      <c r="BA831" s="2289"/>
      <c r="BB831" s="2289"/>
      <c r="BC831" s="2289"/>
      <c r="BD831" s="2289"/>
      <c r="BE831" s="2289"/>
      <c r="BF831" s="2289"/>
      <c r="BG831" s="2289"/>
      <c r="BH831" s="2289"/>
      <c r="BI831" s="2289"/>
      <c r="BJ831" s="2289"/>
      <c r="BK831" s="2289"/>
      <c r="BL831" s="2289"/>
      <c r="BM831" s="2289"/>
      <c r="BN831" s="2289"/>
      <c r="BO831" s="2289"/>
      <c r="BP831" s="2289"/>
      <c r="BQ831" s="2289"/>
      <c r="BR831" s="2289"/>
    </row>
    <row r="832" spans="1:70" ht="15.75" customHeight="1">
      <c r="A832" s="2289"/>
      <c r="B832" s="2289"/>
      <c r="C832" s="2289"/>
      <c r="D832" s="2289"/>
      <c r="E832" s="2289"/>
      <c r="F832" s="2289"/>
      <c r="G832" s="2290"/>
      <c r="H832" s="2289"/>
      <c r="I832" s="2289"/>
      <c r="J832" s="2290"/>
      <c r="K832" s="2289"/>
      <c r="L832" s="2289"/>
      <c r="M832" s="2290"/>
      <c r="N832" s="2290"/>
      <c r="O832" s="2290"/>
      <c r="P832" s="2290"/>
      <c r="Q832" s="2289"/>
      <c r="R832" s="2289"/>
      <c r="S832" s="2289"/>
      <c r="T832" s="2291"/>
      <c r="U832" s="2289"/>
      <c r="V832" s="2289"/>
      <c r="W832" s="2289"/>
      <c r="X832" s="2292"/>
      <c r="Y832" s="2292"/>
      <c r="Z832" s="2289"/>
      <c r="AA832" s="2289"/>
      <c r="AB832" s="2289"/>
      <c r="AC832" s="2289"/>
      <c r="AD832" s="2293"/>
      <c r="AE832" s="2293"/>
      <c r="AF832" s="2293"/>
      <c r="AG832" s="2293"/>
      <c r="AH832" s="2289"/>
      <c r="AI832" s="2289"/>
      <c r="AJ832" s="2294"/>
      <c r="AK832" s="2294"/>
      <c r="AL832" s="2289"/>
      <c r="AM832" s="2289"/>
      <c r="AN832" s="2289"/>
      <c r="AO832" s="2289"/>
      <c r="AP832" s="2289"/>
      <c r="AQ832" s="2289"/>
      <c r="AR832" s="2294"/>
      <c r="AS832" s="2294"/>
      <c r="AT832" s="2295"/>
      <c r="AU832" s="2295"/>
      <c r="AV832" s="2295"/>
      <c r="AW832" s="2295"/>
      <c r="AX832" s="2296"/>
      <c r="AY832" s="2289"/>
      <c r="AZ832" s="2289"/>
      <c r="BA832" s="2289"/>
      <c r="BB832" s="2289"/>
      <c r="BC832" s="2289"/>
      <c r="BD832" s="2289"/>
      <c r="BE832" s="2289"/>
      <c r="BF832" s="2289"/>
      <c r="BG832" s="2289"/>
      <c r="BH832" s="2289"/>
      <c r="BI832" s="2289"/>
      <c r="BJ832" s="2289"/>
      <c r="BK832" s="2289"/>
      <c r="BL832" s="2289"/>
      <c r="BM832" s="2289"/>
      <c r="BN832" s="2289"/>
      <c r="BO832" s="2289"/>
      <c r="BP832" s="2289"/>
      <c r="BQ832" s="2289"/>
      <c r="BR832" s="2289"/>
    </row>
    <row r="833" spans="1:70" ht="15.75" customHeight="1">
      <c r="A833" s="2289"/>
      <c r="B833" s="2289"/>
      <c r="C833" s="2289"/>
      <c r="D833" s="2289"/>
      <c r="E833" s="2289"/>
      <c r="F833" s="2289"/>
      <c r="G833" s="2290"/>
      <c r="H833" s="2289"/>
      <c r="I833" s="2289"/>
      <c r="J833" s="2290"/>
      <c r="K833" s="2289"/>
      <c r="L833" s="2289"/>
      <c r="M833" s="2290"/>
      <c r="N833" s="2290"/>
      <c r="O833" s="2290"/>
      <c r="P833" s="2290"/>
      <c r="Q833" s="2289"/>
      <c r="R833" s="2289"/>
      <c r="S833" s="2289"/>
      <c r="T833" s="2291"/>
      <c r="U833" s="2289"/>
      <c r="V833" s="2289"/>
      <c r="W833" s="2289"/>
      <c r="X833" s="2292"/>
      <c r="Y833" s="2292"/>
      <c r="Z833" s="2289"/>
      <c r="AA833" s="2289"/>
      <c r="AB833" s="2289"/>
      <c r="AC833" s="2289"/>
      <c r="AD833" s="2293"/>
      <c r="AE833" s="2293"/>
      <c r="AF833" s="2293"/>
      <c r="AG833" s="2293"/>
      <c r="AH833" s="2289"/>
      <c r="AI833" s="2289"/>
      <c r="AJ833" s="2294"/>
      <c r="AK833" s="2294"/>
      <c r="AL833" s="2289"/>
      <c r="AM833" s="2289"/>
      <c r="AN833" s="2289"/>
      <c r="AO833" s="2289"/>
      <c r="AP833" s="2289"/>
      <c r="AQ833" s="2289"/>
      <c r="AR833" s="2294"/>
      <c r="AS833" s="2294"/>
      <c r="AT833" s="2295"/>
      <c r="AU833" s="2295"/>
      <c r="AV833" s="2295"/>
      <c r="AW833" s="2295"/>
      <c r="AX833" s="2296"/>
      <c r="AY833" s="2289"/>
      <c r="AZ833" s="2289"/>
      <c r="BA833" s="2289"/>
      <c r="BB833" s="2289"/>
      <c r="BC833" s="2289"/>
      <c r="BD833" s="2289"/>
      <c r="BE833" s="2289"/>
      <c r="BF833" s="2289"/>
      <c r="BG833" s="2289"/>
      <c r="BH833" s="2289"/>
      <c r="BI833" s="2289"/>
      <c r="BJ833" s="2289"/>
      <c r="BK833" s="2289"/>
      <c r="BL833" s="2289"/>
      <c r="BM833" s="2289"/>
      <c r="BN833" s="2289"/>
      <c r="BO833" s="2289"/>
      <c r="BP833" s="2289"/>
      <c r="BQ833" s="2289"/>
      <c r="BR833" s="2289"/>
    </row>
    <row r="834" spans="1:70" ht="15.75" customHeight="1">
      <c r="A834" s="2289"/>
      <c r="B834" s="2289"/>
      <c r="C834" s="2289"/>
      <c r="D834" s="2289"/>
      <c r="E834" s="2289"/>
      <c r="F834" s="2289"/>
      <c r="G834" s="2290"/>
      <c r="H834" s="2289"/>
      <c r="I834" s="2289"/>
      <c r="J834" s="2290"/>
      <c r="K834" s="2289"/>
      <c r="L834" s="2289"/>
      <c r="M834" s="2290"/>
      <c r="N834" s="2290"/>
      <c r="O834" s="2290"/>
      <c r="P834" s="2290"/>
      <c r="Q834" s="2289"/>
      <c r="R834" s="2289"/>
      <c r="S834" s="2289"/>
      <c r="T834" s="2291"/>
      <c r="U834" s="2289"/>
      <c r="V834" s="2289"/>
      <c r="W834" s="2289"/>
      <c r="X834" s="2292"/>
      <c r="Y834" s="2292"/>
      <c r="Z834" s="2289"/>
      <c r="AA834" s="2289"/>
      <c r="AB834" s="2289"/>
      <c r="AC834" s="2289"/>
      <c r="AD834" s="2293"/>
      <c r="AE834" s="2293"/>
      <c r="AF834" s="2293"/>
      <c r="AG834" s="2293"/>
      <c r="AH834" s="2289"/>
      <c r="AI834" s="2289"/>
      <c r="AJ834" s="2294"/>
      <c r="AK834" s="2294"/>
      <c r="AL834" s="2289"/>
      <c r="AM834" s="2289"/>
      <c r="AN834" s="2289"/>
      <c r="AO834" s="2289"/>
      <c r="AP834" s="2289"/>
      <c r="AQ834" s="2289"/>
      <c r="AR834" s="2294"/>
      <c r="AS834" s="2294"/>
      <c r="AT834" s="2295"/>
      <c r="AU834" s="2295"/>
      <c r="AV834" s="2295"/>
      <c r="AW834" s="2295"/>
      <c r="AX834" s="2296"/>
      <c r="AY834" s="2289"/>
      <c r="AZ834" s="2289"/>
      <c r="BA834" s="2289"/>
      <c r="BB834" s="2289"/>
      <c r="BC834" s="2289"/>
      <c r="BD834" s="2289"/>
      <c r="BE834" s="2289"/>
      <c r="BF834" s="2289"/>
      <c r="BG834" s="2289"/>
      <c r="BH834" s="2289"/>
      <c r="BI834" s="2289"/>
      <c r="BJ834" s="2289"/>
      <c r="BK834" s="2289"/>
      <c r="BL834" s="2289"/>
      <c r="BM834" s="2289"/>
      <c r="BN834" s="2289"/>
      <c r="BO834" s="2289"/>
      <c r="BP834" s="2289"/>
      <c r="BQ834" s="2289"/>
      <c r="BR834" s="2289"/>
    </row>
    <row r="835" spans="1:70" ht="15.75" customHeight="1">
      <c r="A835" s="2289"/>
      <c r="B835" s="2289"/>
      <c r="C835" s="2289"/>
      <c r="D835" s="2289"/>
      <c r="E835" s="2289"/>
      <c r="F835" s="2289"/>
      <c r="G835" s="2290"/>
      <c r="H835" s="2289"/>
      <c r="I835" s="2289"/>
      <c r="J835" s="2290"/>
      <c r="K835" s="2289"/>
      <c r="L835" s="2289"/>
      <c r="M835" s="2290"/>
      <c r="N835" s="2290"/>
      <c r="O835" s="2290"/>
      <c r="P835" s="2290"/>
      <c r="Q835" s="2289"/>
      <c r="R835" s="2289"/>
      <c r="S835" s="2289"/>
      <c r="T835" s="2291"/>
      <c r="U835" s="2289"/>
      <c r="V835" s="2289"/>
      <c r="W835" s="2289"/>
      <c r="X835" s="2292"/>
      <c r="Y835" s="2292"/>
      <c r="Z835" s="2289"/>
      <c r="AA835" s="2289"/>
      <c r="AB835" s="2289"/>
      <c r="AC835" s="2289"/>
      <c r="AD835" s="2293"/>
      <c r="AE835" s="2293"/>
      <c r="AF835" s="2293"/>
      <c r="AG835" s="2293"/>
      <c r="AH835" s="2289"/>
      <c r="AI835" s="2289"/>
      <c r="AJ835" s="2294"/>
      <c r="AK835" s="2294"/>
      <c r="AL835" s="2289"/>
      <c r="AM835" s="2289"/>
      <c r="AN835" s="2289"/>
      <c r="AO835" s="2289"/>
      <c r="AP835" s="2289"/>
      <c r="AQ835" s="2289"/>
      <c r="AR835" s="2294"/>
      <c r="AS835" s="2294"/>
      <c r="AT835" s="2295"/>
      <c r="AU835" s="2295"/>
      <c r="AV835" s="2295"/>
      <c r="AW835" s="2295"/>
      <c r="AX835" s="2296"/>
      <c r="AY835" s="2289"/>
      <c r="AZ835" s="2289"/>
      <c r="BA835" s="2289"/>
      <c r="BB835" s="2289"/>
      <c r="BC835" s="2289"/>
      <c r="BD835" s="2289"/>
      <c r="BE835" s="2289"/>
      <c r="BF835" s="2289"/>
      <c r="BG835" s="2289"/>
      <c r="BH835" s="2289"/>
      <c r="BI835" s="2289"/>
      <c r="BJ835" s="2289"/>
      <c r="BK835" s="2289"/>
      <c r="BL835" s="2289"/>
      <c r="BM835" s="2289"/>
      <c r="BN835" s="2289"/>
      <c r="BO835" s="2289"/>
      <c r="BP835" s="2289"/>
      <c r="BQ835" s="2289"/>
      <c r="BR835" s="2289"/>
    </row>
    <row r="836" spans="1:70" ht="15.75" customHeight="1">
      <c r="A836" s="2289"/>
      <c r="B836" s="2289"/>
      <c r="C836" s="2289"/>
      <c r="D836" s="2289"/>
      <c r="E836" s="2289"/>
      <c r="F836" s="2289"/>
      <c r="G836" s="2290"/>
      <c r="H836" s="2289"/>
      <c r="I836" s="2289"/>
      <c r="J836" s="2290"/>
      <c r="K836" s="2289"/>
      <c r="L836" s="2289"/>
      <c r="M836" s="2290"/>
      <c r="N836" s="2290"/>
      <c r="O836" s="2290"/>
      <c r="P836" s="2290"/>
      <c r="Q836" s="2289"/>
      <c r="R836" s="2289"/>
      <c r="S836" s="2289"/>
      <c r="T836" s="2291"/>
      <c r="U836" s="2289"/>
      <c r="V836" s="2289"/>
      <c r="W836" s="2289"/>
      <c r="X836" s="2292"/>
      <c r="Y836" s="2292"/>
      <c r="Z836" s="2289"/>
      <c r="AA836" s="2289"/>
      <c r="AB836" s="2289"/>
      <c r="AC836" s="2289"/>
      <c r="AD836" s="2293"/>
      <c r="AE836" s="2293"/>
      <c r="AF836" s="2293"/>
      <c r="AG836" s="2293"/>
      <c r="AH836" s="2289"/>
      <c r="AI836" s="2289"/>
      <c r="AJ836" s="2294"/>
      <c r="AK836" s="2294"/>
      <c r="AL836" s="2289"/>
      <c r="AM836" s="2289"/>
      <c r="AN836" s="2289"/>
      <c r="AO836" s="2289"/>
      <c r="AP836" s="2289"/>
      <c r="AQ836" s="2289"/>
      <c r="AR836" s="2294"/>
      <c r="AS836" s="2294"/>
      <c r="AT836" s="2295"/>
      <c r="AU836" s="2295"/>
      <c r="AV836" s="2295"/>
      <c r="AW836" s="2295"/>
      <c r="AX836" s="2296"/>
      <c r="AY836" s="2289"/>
      <c r="AZ836" s="2289"/>
      <c r="BA836" s="2289"/>
      <c r="BB836" s="2289"/>
      <c r="BC836" s="2289"/>
      <c r="BD836" s="2289"/>
      <c r="BE836" s="2289"/>
      <c r="BF836" s="2289"/>
      <c r="BG836" s="2289"/>
      <c r="BH836" s="2289"/>
      <c r="BI836" s="2289"/>
      <c r="BJ836" s="2289"/>
      <c r="BK836" s="2289"/>
      <c r="BL836" s="2289"/>
      <c r="BM836" s="2289"/>
      <c r="BN836" s="2289"/>
      <c r="BO836" s="2289"/>
      <c r="BP836" s="2289"/>
      <c r="BQ836" s="2289"/>
      <c r="BR836" s="2289"/>
    </row>
    <row r="837" spans="1:70" ht="15.75" customHeight="1">
      <c r="A837" s="2289"/>
      <c r="B837" s="2289"/>
      <c r="C837" s="2289"/>
      <c r="D837" s="2289"/>
      <c r="E837" s="2289"/>
      <c r="F837" s="2289"/>
      <c r="G837" s="2290"/>
      <c r="H837" s="2289"/>
      <c r="I837" s="2289"/>
      <c r="J837" s="2290"/>
      <c r="K837" s="2289"/>
      <c r="L837" s="2289"/>
      <c r="M837" s="2290"/>
      <c r="N837" s="2290"/>
      <c r="O837" s="2290"/>
      <c r="P837" s="2290"/>
      <c r="Q837" s="2289"/>
      <c r="R837" s="2289"/>
      <c r="S837" s="2289"/>
      <c r="T837" s="2291"/>
      <c r="U837" s="2289"/>
      <c r="V837" s="2289"/>
      <c r="W837" s="2289"/>
      <c r="X837" s="2292"/>
      <c r="Y837" s="2292"/>
      <c r="Z837" s="2289"/>
      <c r="AA837" s="2289"/>
      <c r="AB837" s="2289"/>
      <c r="AC837" s="2289"/>
      <c r="AD837" s="2293"/>
      <c r="AE837" s="2293"/>
      <c r="AF837" s="2293"/>
      <c r="AG837" s="2293"/>
      <c r="AH837" s="2289"/>
      <c r="AI837" s="2289"/>
      <c r="AJ837" s="2294"/>
      <c r="AK837" s="2294"/>
      <c r="AL837" s="2289"/>
      <c r="AM837" s="2289"/>
      <c r="AN837" s="2289"/>
      <c r="AO837" s="2289"/>
      <c r="AP837" s="2289"/>
      <c r="AQ837" s="2289"/>
      <c r="AR837" s="2294"/>
      <c r="AS837" s="2294"/>
      <c r="AT837" s="2295"/>
      <c r="AU837" s="2295"/>
      <c r="AV837" s="2295"/>
      <c r="AW837" s="2295"/>
      <c r="AX837" s="2296"/>
      <c r="AY837" s="2289"/>
      <c r="AZ837" s="2289"/>
      <c r="BA837" s="2289"/>
      <c r="BB837" s="2289"/>
      <c r="BC837" s="2289"/>
      <c r="BD837" s="2289"/>
      <c r="BE837" s="2289"/>
      <c r="BF837" s="2289"/>
      <c r="BG837" s="2289"/>
      <c r="BH837" s="2289"/>
      <c r="BI837" s="2289"/>
      <c r="BJ837" s="2289"/>
      <c r="BK837" s="2289"/>
      <c r="BL837" s="2289"/>
      <c r="BM837" s="2289"/>
      <c r="BN837" s="2289"/>
      <c r="BO837" s="2289"/>
      <c r="BP837" s="2289"/>
      <c r="BQ837" s="2289"/>
      <c r="BR837" s="2289"/>
    </row>
    <row r="838" spans="1:70" ht="15.75" customHeight="1">
      <c r="A838" s="2289"/>
      <c r="B838" s="2289"/>
      <c r="C838" s="2289"/>
      <c r="D838" s="2289"/>
      <c r="E838" s="2289"/>
      <c r="F838" s="2289"/>
      <c r="G838" s="2290"/>
      <c r="H838" s="2289"/>
      <c r="I838" s="2289"/>
      <c r="J838" s="2290"/>
      <c r="K838" s="2289"/>
      <c r="L838" s="2289"/>
      <c r="M838" s="2290"/>
      <c r="N838" s="2290"/>
      <c r="O838" s="2290"/>
      <c r="P838" s="2290"/>
      <c r="Q838" s="2289"/>
      <c r="R838" s="2289"/>
      <c r="S838" s="2289"/>
      <c r="T838" s="2291"/>
      <c r="U838" s="2289"/>
      <c r="V838" s="2289"/>
      <c r="W838" s="2289"/>
      <c r="X838" s="2292"/>
      <c r="Y838" s="2292"/>
      <c r="Z838" s="2289"/>
      <c r="AA838" s="2289"/>
      <c r="AB838" s="2289"/>
      <c r="AC838" s="2289"/>
      <c r="AD838" s="2293"/>
      <c r="AE838" s="2293"/>
      <c r="AF838" s="2293"/>
      <c r="AG838" s="2293"/>
      <c r="AH838" s="2289"/>
      <c r="AI838" s="2289"/>
      <c r="AJ838" s="2294"/>
      <c r="AK838" s="2294"/>
      <c r="AL838" s="2289"/>
      <c r="AM838" s="2289"/>
      <c r="AN838" s="2289"/>
      <c r="AO838" s="2289"/>
      <c r="AP838" s="2289"/>
      <c r="AQ838" s="2289"/>
      <c r="AR838" s="2294"/>
      <c r="AS838" s="2294"/>
      <c r="AT838" s="2295"/>
      <c r="AU838" s="2295"/>
      <c r="AV838" s="2295"/>
      <c r="AW838" s="2295"/>
      <c r="AX838" s="2296"/>
      <c r="AY838" s="2289"/>
      <c r="AZ838" s="2289"/>
      <c r="BA838" s="2289"/>
      <c r="BB838" s="2289"/>
      <c r="BC838" s="2289"/>
      <c r="BD838" s="2289"/>
      <c r="BE838" s="2289"/>
      <c r="BF838" s="2289"/>
      <c r="BG838" s="2289"/>
      <c r="BH838" s="2289"/>
      <c r="BI838" s="2289"/>
      <c r="BJ838" s="2289"/>
      <c r="BK838" s="2289"/>
      <c r="BL838" s="2289"/>
      <c r="BM838" s="2289"/>
      <c r="BN838" s="2289"/>
      <c r="BO838" s="2289"/>
      <c r="BP838" s="2289"/>
      <c r="BQ838" s="2289"/>
      <c r="BR838" s="2289"/>
    </row>
    <row r="839" spans="1:70" ht="15.75" customHeight="1">
      <c r="A839" s="2289"/>
      <c r="B839" s="2289"/>
      <c r="C839" s="2289"/>
      <c r="D839" s="2289"/>
      <c r="E839" s="2289"/>
      <c r="F839" s="2289"/>
      <c r="G839" s="2290"/>
      <c r="H839" s="2289"/>
      <c r="I839" s="2289"/>
      <c r="J839" s="2290"/>
      <c r="K839" s="2289"/>
      <c r="L839" s="2289"/>
      <c r="M839" s="2290"/>
      <c r="N839" s="2290"/>
      <c r="O839" s="2290"/>
      <c r="P839" s="2290"/>
      <c r="Q839" s="2289"/>
      <c r="R839" s="2289"/>
      <c r="S839" s="2289"/>
      <c r="T839" s="2291"/>
      <c r="U839" s="2289"/>
      <c r="V839" s="2289"/>
      <c r="W839" s="2289"/>
      <c r="X839" s="2292"/>
      <c r="Y839" s="2292"/>
      <c r="Z839" s="2289"/>
      <c r="AA839" s="2289"/>
      <c r="AB839" s="2289"/>
      <c r="AC839" s="2289"/>
      <c r="AD839" s="2293"/>
      <c r="AE839" s="2293"/>
      <c r="AF839" s="2293"/>
      <c r="AG839" s="2293"/>
      <c r="AH839" s="2289"/>
      <c r="AI839" s="2289"/>
      <c r="AJ839" s="2294"/>
      <c r="AK839" s="2294"/>
      <c r="AL839" s="2289"/>
      <c r="AM839" s="2289"/>
      <c r="AN839" s="2289"/>
      <c r="AO839" s="2289"/>
      <c r="AP839" s="2289"/>
      <c r="AQ839" s="2289"/>
      <c r="AR839" s="2294"/>
      <c r="AS839" s="2294"/>
      <c r="AT839" s="2295"/>
      <c r="AU839" s="2295"/>
      <c r="AV839" s="2295"/>
      <c r="AW839" s="2295"/>
      <c r="AX839" s="2296"/>
      <c r="AY839" s="2289"/>
      <c r="AZ839" s="2289"/>
      <c r="BA839" s="2289"/>
      <c r="BB839" s="2289"/>
      <c r="BC839" s="2289"/>
      <c r="BD839" s="2289"/>
      <c r="BE839" s="2289"/>
      <c r="BF839" s="2289"/>
      <c r="BG839" s="2289"/>
      <c r="BH839" s="2289"/>
      <c r="BI839" s="2289"/>
      <c r="BJ839" s="2289"/>
      <c r="BK839" s="2289"/>
      <c r="BL839" s="2289"/>
      <c r="BM839" s="2289"/>
      <c r="BN839" s="2289"/>
      <c r="BO839" s="2289"/>
      <c r="BP839" s="2289"/>
      <c r="BQ839" s="2289"/>
      <c r="BR839" s="2289"/>
    </row>
    <row r="840" spans="1:70" ht="15.75" customHeight="1">
      <c r="A840" s="2289"/>
      <c r="B840" s="2289"/>
      <c r="C840" s="2289"/>
      <c r="D840" s="2289"/>
      <c r="E840" s="2289"/>
      <c r="F840" s="2289"/>
      <c r="G840" s="2290"/>
      <c r="H840" s="2289"/>
      <c r="I840" s="2289"/>
      <c r="J840" s="2290"/>
      <c r="K840" s="2289"/>
      <c r="L840" s="2289"/>
      <c r="M840" s="2290"/>
      <c r="N840" s="2290"/>
      <c r="O840" s="2290"/>
      <c r="P840" s="2290"/>
      <c r="Q840" s="2289"/>
      <c r="R840" s="2289"/>
      <c r="S840" s="2289"/>
      <c r="T840" s="2291"/>
      <c r="U840" s="2289"/>
      <c r="V840" s="2289"/>
      <c r="W840" s="2289"/>
      <c r="X840" s="2292"/>
      <c r="Y840" s="2292"/>
      <c r="Z840" s="2289"/>
      <c r="AA840" s="2289"/>
      <c r="AB840" s="2289"/>
      <c r="AC840" s="2289"/>
      <c r="AD840" s="2293"/>
      <c r="AE840" s="2293"/>
      <c r="AF840" s="2293"/>
      <c r="AG840" s="2293"/>
      <c r="AH840" s="2289"/>
      <c r="AI840" s="2289"/>
      <c r="AJ840" s="2294"/>
      <c r="AK840" s="2294"/>
      <c r="AL840" s="2289"/>
      <c r="AM840" s="2289"/>
      <c r="AN840" s="2289"/>
      <c r="AO840" s="2289"/>
      <c r="AP840" s="2289"/>
      <c r="AQ840" s="2289"/>
      <c r="AR840" s="2294"/>
      <c r="AS840" s="2294"/>
      <c r="AT840" s="2295"/>
      <c r="AU840" s="2295"/>
      <c r="AV840" s="2295"/>
      <c r="AW840" s="2295"/>
      <c r="AX840" s="2296"/>
      <c r="AY840" s="2289"/>
      <c r="AZ840" s="2289"/>
      <c r="BA840" s="2289"/>
      <c r="BB840" s="2289"/>
      <c r="BC840" s="2289"/>
      <c r="BD840" s="2289"/>
      <c r="BE840" s="2289"/>
      <c r="BF840" s="2289"/>
      <c r="BG840" s="2289"/>
      <c r="BH840" s="2289"/>
      <c r="BI840" s="2289"/>
      <c r="BJ840" s="2289"/>
      <c r="BK840" s="2289"/>
      <c r="BL840" s="2289"/>
      <c r="BM840" s="2289"/>
      <c r="BN840" s="2289"/>
      <c r="BO840" s="2289"/>
      <c r="BP840" s="2289"/>
      <c r="BQ840" s="2289"/>
      <c r="BR840" s="2289"/>
    </row>
    <row r="841" spans="1:70" ht="15.75" customHeight="1">
      <c r="A841" s="2289"/>
      <c r="B841" s="2289"/>
      <c r="C841" s="2289"/>
      <c r="D841" s="2289"/>
      <c r="E841" s="2289"/>
      <c r="F841" s="2289"/>
      <c r="G841" s="2290"/>
      <c r="H841" s="2289"/>
      <c r="I841" s="2289"/>
      <c r="J841" s="2290"/>
      <c r="K841" s="2289"/>
      <c r="L841" s="2289"/>
      <c r="M841" s="2290"/>
      <c r="N841" s="2290"/>
      <c r="O841" s="2290"/>
      <c r="P841" s="2290"/>
      <c r="Q841" s="2289"/>
      <c r="R841" s="2289"/>
      <c r="S841" s="2289"/>
      <c r="T841" s="2291"/>
      <c r="U841" s="2289"/>
      <c r="V841" s="2289"/>
      <c r="W841" s="2289"/>
      <c r="X841" s="2292"/>
      <c r="Y841" s="2292"/>
      <c r="Z841" s="2289"/>
      <c r="AA841" s="2289"/>
      <c r="AB841" s="2289"/>
      <c r="AC841" s="2289"/>
      <c r="AD841" s="2293"/>
      <c r="AE841" s="2293"/>
      <c r="AF841" s="2293"/>
      <c r="AG841" s="2293"/>
      <c r="AH841" s="2289"/>
      <c r="AI841" s="2289"/>
      <c r="AJ841" s="2294"/>
      <c r="AK841" s="2294"/>
      <c r="AL841" s="2289"/>
      <c r="AM841" s="2289"/>
      <c r="AN841" s="2289"/>
      <c r="AO841" s="2289"/>
      <c r="AP841" s="2289"/>
      <c r="AQ841" s="2289"/>
      <c r="AR841" s="2294"/>
      <c r="AS841" s="2294"/>
      <c r="AT841" s="2295"/>
      <c r="AU841" s="2295"/>
      <c r="AV841" s="2295"/>
      <c r="AW841" s="2295"/>
      <c r="AX841" s="2296"/>
      <c r="AY841" s="2289"/>
      <c r="AZ841" s="2289"/>
      <c r="BA841" s="2289"/>
      <c r="BB841" s="2289"/>
      <c r="BC841" s="2289"/>
      <c r="BD841" s="2289"/>
      <c r="BE841" s="2289"/>
      <c r="BF841" s="2289"/>
      <c r="BG841" s="2289"/>
      <c r="BH841" s="2289"/>
      <c r="BI841" s="2289"/>
      <c r="BJ841" s="2289"/>
      <c r="BK841" s="2289"/>
      <c r="BL841" s="2289"/>
      <c r="BM841" s="2289"/>
      <c r="BN841" s="2289"/>
      <c r="BO841" s="2289"/>
      <c r="BP841" s="2289"/>
      <c r="BQ841" s="2289"/>
      <c r="BR841" s="2289"/>
    </row>
    <row r="842" spans="1:70" ht="15.75" customHeight="1">
      <c r="A842" s="2289"/>
      <c r="B842" s="2289"/>
      <c r="C842" s="2289"/>
      <c r="D842" s="2289"/>
      <c r="E842" s="2289"/>
      <c r="F842" s="2289"/>
      <c r="G842" s="2290"/>
      <c r="H842" s="2289"/>
      <c r="I842" s="2289"/>
      <c r="J842" s="2290"/>
      <c r="K842" s="2289"/>
      <c r="L842" s="2289"/>
      <c r="M842" s="2290"/>
      <c r="N842" s="2290"/>
      <c r="O842" s="2290"/>
      <c r="P842" s="2290"/>
      <c r="Q842" s="2289"/>
      <c r="R842" s="2289"/>
      <c r="S842" s="2289"/>
      <c r="T842" s="2291"/>
      <c r="U842" s="2289"/>
      <c r="V842" s="2289"/>
      <c r="W842" s="2289"/>
      <c r="X842" s="2292"/>
      <c r="Y842" s="2292"/>
      <c r="Z842" s="2289"/>
      <c r="AA842" s="2289"/>
      <c r="AB842" s="2289"/>
      <c r="AC842" s="2289"/>
      <c r="AD842" s="2293"/>
      <c r="AE842" s="2293"/>
      <c r="AF842" s="2293"/>
      <c r="AG842" s="2293"/>
      <c r="AH842" s="2289"/>
      <c r="AI842" s="2289"/>
      <c r="AJ842" s="2294"/>
      <c r="AK842" s="2294"/>
      <c r="AL842" s="2289"/>
      <c r="AM842" s="2289"/>
      <c r="AN842" s="2289"/>
      <c r="AO842" s="2289"/>
      <c r="AP842" s="2289"/>
      <c r="AQ842" s="2289"/>
      <c r="AR842" s="2294"/>
      <c r="AS842" s="2294"/>
      <c r="AT842" s="2295"/>
      <c r="AU842" s="2295"/>
      <c r="AV842" s="2295"/>
      <c r="AW842" s="2295"/>
      <c r="AX842" s="2296"/>
      <c r="AY842" s="2289"/>
      <c r="AZ842" s="2289"/>
      <c r="BA842" s="2289"/>
      <c r="BB842" s="2289"/>
      <c r="BC842" s="2289"/>
      <c r="BD842" s="2289"/>
      <c r="BE842" s="2289"/>
      <c r="BF842" s="2289"/>
      <c r="BG842" s="2289"/>
      <c r="BH842" s="2289"/>
      <c r="BI842" s="2289"/>
      <c r="BJ842" s="2289"/>
      <c r="BK842" s="2289"/>
      <c r="BL842" s="2289"/>
      <c r="BM842" s="2289"/>
      <c r="BN842" s="2289"/>
      <c r="BO842" s="2289"/>
      <c r="BP842" s="2289"/>
      <c r="BQ842" s="2289"/>
      <c r="BR842" s="2289"/>
    </row>
    <row r="843" spans="1:70" ht="15.75" customHeight="1">
      <c r="A843" s="2289"/>
      <c r="B843" s="2289"/>
      <c r="C843" s="2289"/>
      <c r="D843" s="2289"/>
      <c r="E843" s="2289"/>
      <c r="F843" s="2289"/>
      <c r="G843" s="2290"/>
      <c r="H843" s="2289"/>
      <c r="I843" s="2289"/>
      <c r="J843" s="2290"/>
      <c r="K843" s="2289"/>
      <c r="L843" s="2289"/>
      <c r="M843" s="2290"/>
      <c r="N843" s="2290"/>
      <c r="O843" s="2290"/>
      <c r="P843" s="2290"/>
      <c r="Q843" s="2289"/>
      <c r="R843" s="2289"/>
      <c r="S843" s="2289"/>
      <c r="T843" s="2291"/>
      <c r="U843" s="2289"/>
      <c r="V843" s="2289"/>
      <c r="W843" s="2289"/>
      <c r="X843" s="2292"/>
      <c r="Y843" s="2292"/>
      <c r="Z843" s="2289"/>
      <c r="AA843" s="2289"/>
      <c r="AB843" s="2289"/>
      <c r="AC843" s="2289"/>
      <c r="AD843" s="2293"/>
      <c r="AE843" s="2293"/>
      <c r="AF843" s="2293"/>
      <c r="AG843" s="2293"/>
      <c r="AH843" s="2289"/>
      <c r="AI843" s="2289"/>
      <c r="AJ843" s="2294"/>
      <c r="AK843" s="2294"/>
      <c r="AL843" s="2289"/>
      <c r="AM843" s="2289"/>
      <c r="AN843" s="2289"/>
      <c r="AO843" s="2289"/>
      <c r="AP843" s="2289"/>
      <c r="AQ843" s="2289"/>
      <c r="AR843" s="2294"/>
      <c r="AS843" s="2294"/>
      <c r="AT843" s="2295"/>
      <c r="AU843" s="2295"/>
      <c r="AV843" s="2295"/>
      <c r="AW843" s="2295"/>
      <c r="AX843" s="2296"/>
      <c r="AY843" s="2289"/>
      <c r="AZ843" s="2289"/>
      <c r="BA843" s="2289"/>
      <c r="BB843" s="2289"/>
      <c r="BC843" s="2289"/>
      <c r="BD843" s="2289"/>
      <c r="BE843" s="2289"/>
      <c r="BF843" s="2289"/>
      <c r="BG843" s="2289"/>
      <c r="BH843" s="2289"/>
      <c r="BI843" s="2289"/>
      <c r="BJ843" s="2289"/>
      <c r="BK843" s="2289"/>
      <c r="BL843" s="2289"/>
      <c r="BM843" s="2289"/>
      <c r="BN843" s="2289"/>
      <c r="BO843" s="2289"/>
      <c r="BP843" s="2289"/>
      <c r="BQ843" s="2289"/>
      <c r="BR843" s="2289"/>
    </row>
    <row r="844" spans="1:70" ht="15.75" customHeight="1">
      <c r="A844" s="2289"/>
      <c r="B844" s="2289"/>
      <c r="C844" s="2289"/>
      <c r="D844" s="2289"/>
      <c r="E844" s="2289"/>
      <c r="F844" s="2289"/>
      <c r="G844" s="2290"/>
      <c r="H844" s="2289"/>
      <c r="I844" s="2289"/>
      <c r="J844" s="2290"/>
      <c r="K844" s="2289"/>
      <c r="L844" s="2289"/>
      <c r="M844" s="2290"/>
      <c r="N844" s="2290"/>
      <c r="O844" s="2290"/>
      <c r="P844" s="2290"/>
      <c r="Q844" s="2289"/>
      <c r="R844" s="2289"/>
      <c r="S844" s="2289"/>
      <c r="T844" s="2291"/>
      <c r="U844" s="2289"/>
      <c r="V844" s="2289"/>
      <c r="W844" s="2289"/>
      <c r="X844" s="2292"/>
      <c r="Y844" s="2292"/>
      <c r="Z844" s="2289"/>
      <c r="AA844" s="2289"/>
      <c r="AB844" s="2289"/>
      <c r="AC844" s="2289"/>
      <c r="AD844" s="2293"/>
      <c r="AE844" s="2293"/>
      <c r="AF844" s="2293"/>
      <c r="AG844" s="2293"/>
      <c r="AH844" s="2289"/>
      <c r="AI844" s="2289"/>
      <c r="AJ844" s="2294"/>
      <c r="AK844" s="2294"/>
      <c r="AL844" s="2289"/>
      <c r="AM844" s="2289"/>
      <c r="AN844" s="2289"/>
      <c r="AO844" s="2289"/>
      <c r="AP844" s="2289"/>
      <c r="AQ844" s="2289"/>
      <c r="AR844" s="2294"/>
      <c r="AS844" s="2294"/>
      <c r="AT844" s="2295"/>
      <c r="AU844" s="2295"/>
      <c r="AV844" s="2295"/>
      <c r="AW844" s="2295"/>
      <c r="AX844" s="2296"/>
      <c r="AY844" s="2289"/>
      <c r="AZ844" s="2289"/>
      <c r="BA844" s="2289"/>
      <c r="BB844" s="2289"/>
      <c r="BC844" s="2289"/>
      <c r="BD844" s="2289"/>
      <c r="BE844" s="2289"/>
      <c r="BF844" s="2289"/>
      <c r="BG844" s="2289"/>
      <c r="BH844" s="2289"/>
      <c r="BI844" s="2289"/>
      <c r="BJ844" s="2289"/>
      <c r="BK844" s="2289"/>
      <c r="BL844" s="2289"/>
      <c r="BM844" s="2289"/>
      <c r="BN844" s="2289"/>
      <c r="BO844" s="2289"/>
      <c r="BP844" s="2289"/>
      <c r="BQ844" s="2289"/>
      <c r="BR844" s="2289"/>
    </row>
    <row r="845" spans="1:70" ht="15.75" customHeight="1">
      <c r="A845" s="2289"/>
      <c r="B845" s="2289"/>
      <c r="C845" s="2289"/>
      <c r="D845" s="2289"/>
      <c r="E845" s="2289"/>
      <c r="F845" s="2289"/>
      <c r="G845" s="2290"/>
      <c r="H845" s="2289"/>
      <c r="I845" s="2289"/>
      <c r="J845" s="2290"/>
      <c r="K845" s="2289"/>
      <c r="L845" s="2289"/>
      <c r="M845" s="2290"/>
      <c r="N845" s="2290"/>
      <c r="O845" s="2290"/>
      <c r="P845" s="2290"/>
      <c r="Q845" s="2289"/>
      <c r="R845" s="2289"/>
      <c r="S845" s="2289"/>
      <c r="T845" s="2291"/>
      <c r="U845" s="2289"/>
      <c r="V845" s="2289"/>
      <c r="W845" s="2289"/>
      <c r="X845" s="2292"/>
      <c r="Y845" s="2292"/>
      <c r="Z845" s="2289"/>
      <c r="AA845" s="2289"/>
      <c r="AB845" s="2289"/>
      <c r="AC845" s="2289"/>
      <c r="AD845" s="2293"/>
      <c r="AE845" s="2293"/>
      <c r="AF845" s="2293"/>
      <c r="AG845" s="2293"/>
      <c r="AH845" s="2289"/>
      <c r="AI845" s="2289"/>
      <c r="AJ845" s="2294"/>
      <c r="AK845" s="2294"/>
      <c r="AL845" s="2289"/>
      <c r="AM845" s="2289"/>
      <c r="AN845" s="2289"/>
      <c r="AO845" s="2289"/>
      <c r="AP845" s="2289"/>
      <c r="AQ845" s="2289"/>
      <c r="AR845" s="2294"/>
      <c r="AS845" s="2294"/>
      <c r="AT845" s="2295"/>
      <c r="AU845" s="2295"/>
      <c r="AV845" s="2295"/>
      <c r="AW845" s="2295"/>
      <c r="AX845" s="2296"/>
      <c r="AY845" s="2289"/>
      <c r="AZ845" s="2289"/>
      <c r="BA845" s="2289"/>
      <c r="BB845" s="2289"/>
      <c r="BC845" s="2289"/>
      <c r="BD845" s="2289"/>
      <c r="BE845" s="2289"/>
      <c r="BF845" s="2289"/>
      <c r="BG845" s="2289"/>
      <c r="BH845" s="2289"/>
      <c r="BI845" s="2289"/>
      <c r="BJ845" s="2289"/>
      <c r="BK845" s="2289"/>
      <c r="BL845" s="2289"/>
      <c r="BM845" s="2289"/>
      <c r="BN845" s="2289"/>
      <c r="BO845" s="2289"/>
      <c r="BP845" s="2289"/>
      <c r="BQ845" s="2289"/>
      <c r="BR845" s="2289"/>
    </row>
    <row r="846" spans="1:70" ht="15.75" customHeight="1">
      <c r="A846" s="2289"/>
      <c r="B846" s="2289"/>
      <c r="C846" s="2289"/>
      <c r="D846" s="2289"/>
      <c r="E846" s="2289"/>
      <c r="F846" s="2289"/>
      <c r="G846" s="2290"/>
      <c r="H846" s="2289"/>
      <c r="I846" s="2289"/>
      <c r="J846" s="2290"/>
      <c r="K846" s="2289"/>
      <c r="L846" s="2289"/>
      <c r="M846" s="2290"/>
      <c r="N846" s="2290"/>
      <c r="O846" s="2290"/>
      <c r="P846" s="2290"/>
      <c r="Q846" s="2289"/>
      <c r="R846" s="2289"/>
      <c r="S846" s="2289"/>
      <c r="T846" s="2291"/>
      <c r="U846" s="2289"/>
      <c r="V846" s="2289"/>
      <c r="W846" s="2289"/>
      <c r="X846" s="2292"/>
      <c r="Y846" s="2292"/>
      <c r="Z846" s="2289"/>
      <c r="AA846" s="2289"/>
      <c r="AB846" s="2289"/>
      <c r="AC846" s="2289"/>
      <c r="AD846" s="2293"/>
      <c r="AE846" s="2293"/>
      <c r="AF846" s="2293"/>
      <c r="AG846" s="2293"/>
      <c r="AH846" s="2289"/>
      <c r="AI846" s="2289"/>
      <c r="AJ846" s="2294"/>
      <c r="AK846" s="2294"/>
      <c r="AL846" s="2289"/>
      <c r="AM846" s="2289"/>
      <c r="AN846" s="2289"/>
      <c r="AO846" s="2289"/>
      <c r="AP846" s="2289"/>
      <c r="AQ846" s="2289"/>
      <c r="AR846" s="2294"/>
      <c r="AS846" s="2294"/>
      <c r="AT846" s="2295"/>
      <c r="AU846" s="2295"/>
      <c r="AV846" s="2295"/>
      <c r="AW846" s="2295"/>
      <c r="AX846" s="2296"/>
      <c r="AY846" s="2289"/>
      <c r="AZ846" s="2289"/>
      <c r="BA846" s="2289"/>
      <c r="BB846" s="2289"/>
      <c r="BC846" s="2289"/>
      <c r="BD846" s="2289"/>
      <c r="BE846" s="2289"/>
      <c r="BF846" s="2289"/>
      <c r="BG846" s="2289"/>
      <c r="BH846" s="2289"/>
      <c r="BI846" s="2289"/>
      <c r="BJ846" s="2289"/>
      <c r="BK846" s="2289"/>
      <c r="BL846" s="2289"/>
      <c r="BM846" s="2289"/>
      <c r="BN846" s="2289"/>
      <c r="BO846" s="2289"/>
      <c r="BP846" s="2289"/>
      <c r="BQ846" s="2289"/>
      <c r="BR846" s="2289"/>
    </row>
    <row r="847" spans="1:70" ht="15.75" customHeight="1">
      <c r="A847" s="2289"/>
      <c r="B847" s="2289"/>
      <c r="C847" s="2289"/>
      <c r="D847" s="2289"/>
      <c r="E847" s="2289"/>
      <c r="F847" s="2289"/>
      <c r="G847" s="2290"/>
      <c r="H847" s="2289"/>
      <c r="I847" s="2289"/>
      <c r="J847" s="2290"/>
      <c r="K847" s="2289"/>
      <c r="L847" s="2289"/>
      <c r="M847" s="2290"/>
      <c r="N847" s="2290"/>
      <c r="O847" s="2290"/>
      <c r="P847" s="2290"/>
      <c r="Q847" s="2289"/>
      <c r="R847" s="2289"/>
      <c r="S847" s="2289"/>
      <c r="T847" s="2291"/>
      <c r="U847" s="2289"/>
      <c r="V847" s="2289"/>
      <c r="W847" s="2289"/>
      <c r="X847" s="2292"/>
      <c r="Y847" s="2292"/>
      <c r="Z847" s="2289"/>
      <c r="AA847" s="2289"/>
      <c r="AB847" s="2289"/>
      <c r="AC847" s="2289"/>
      <c r="AD847" s="2293"/>
      <c r="AE847" s="2293"/>
      <c r="AF847" s="2293"/>
      <c r="AG847" s="2293"/>
      <c r="AH847" s="2289"/>
      <c r="AI847" s="2289"/>
      <c r="AJ847" s="2294"/>
      <c r="AK847" s="2294"/>
      <c r="AL847" s="2289"/>
      <c r="AM847" s="2289"/>
      <c r="AN847" s="2289"/>
      <c r="AO847" s="2289"/>
      <c r="AP847" s="2289"/>
      <c r="AQ847" s="2289"/>
      <c r="AR847" s="2294"/>
      <c r="AS847" s="2294"/>
      <c r="AT847" s="2295"/>
      <c r="AU847" s="2295"/>
      <c r="AV847" s="2295"/>
      <c r="AW847" s="2295"/>
      <c r="AX847" s="2296"/>
      <c r="AY847" s="2289"/>
      <c r="AZ847" s="2289"/>
      <c r="BA847" s="2289"/>
      <c r="BB847" s="2289"/>
      <c r="BC847" s="2289"/>
      <c r="BD847" s="2289"/>
      <c r="BE847" s="2289"/>
      <c r="BF847" s="2289"/>
      <c r="BG847" s="2289"/>
      <c r="BH847" s="2289"/>
      <c r="BI847" s="2289"/>
      <c r="BJ847" s="2289"/>
      <c r="BK847" s="2289"/>
      <c r="BL847" s="2289"/>
      <c r="BM847" s="2289"/>
      <c r="BN847" s="2289"/>
      <c r="BO847" s="2289"/>
      <c r="BP847" s="2289"/>
      <c r="BQ847" s="2289"/>
      <c r="BR847" s="2289"/>
    </row>
    <row r="848" spans="1:70" ht="15.75" customHeight="1">
      <c r="A848" s="2289"/>
      <c r="B848" s="2289"/>
      <c r="C848" s="2289"/>
      <c r="D848" s="2289"/>
      <c r="E848" s="2289"/>
      <c r="F848" s="2289"/>
      <c r="G848" s="2290"/>
      <c r="H848" s="2289"/>
      <c r="I848" s="2289"/>
      <c r="J848" s="2290"/>
      <c r="K848" s="2289"/>
      <c r="L848" s="2289"/>
      <c r="M848" s="2290"/>
      <c r="N848" s="2290"/>
      <c r="O848" s="2290"/>
      <c r="P848" s="2290"/>
      <c r="Q848" s="2289"/>
      <c r="R848" s="2289"/>
      <c r="S848" s="2289"/>
      <c r="T848" s="2291"/>
      <c r="U848" s="2289"/>
      <c r="V848" s="2289"/>
      <c r="W848" s="2289"/>
      <c r="X848" s="2292"/>
      <c r="Y848" s="2292"/>
      <c r="Z848" s="2289"/>
      <c r="AA848" s="2289"/>
      <c r="AB848" s="2289"/>
      <c r="AC848" s="2289"/>
      <c r="AD848" s="2293"/>
      <c r="AE848" s="2293"/>
      <c r="AF848" s="2293"/>
      <c r="AG848" s="2293"/>
      <c r="AH848" s="2289"/>
      <c r="AI848" s="2289"/>
      <c r="AJ848" s="2294"/>
      <c r="AK848" s="2294"/>
      <c r="AL848" s="2289"/>
      <c r="AM848" s="2289"/>
      <c r="AN848" s="2289"/>
      <c r="AO848" s="2289"/>
      <c r="AP848" s="2289"/>
      <c r="AQ848" s="2289"/>
      <c r="AR848" s="2294"/>
      <c r="AS848" s="2294"/>
      <c r="AT848" s="2295"/>
      <c r="AU848" s="2295"/>
      <c r="AV848" s="2295"/>
      <c r="AW848" s="2295"/>
      <c r="AX848" s="2296"/>
      <c r="AY848" s="2289"/>
      <c r="AZ848" s="2289"/>
      <c r="BA848" s="2289"/>
      <c r="BB848" s="2289"/>
      <c r="BC848" s="2289"/>
      <c r="BD848" s="2289"/>
      <c r="BE848" s="2289"/>
      <c r="BF848" s="2289"/>
      <c r="BG848" s="2289"/>
      <c r="BH848" s="2289"/>
      <c r="BI848" s="2289"/>
      <c r="BJ848" s="2289"/>
      <c r="BK848" s="2289"/>
      <c r="BL848" s="2289"/>
      <c r="BM848" s="2289"/>
      <c r="BN848" s="2289"/>
      <c r="BO848" s="2289"/>
      <c r="BP848" s="2289"/>
      <c r="BQ848" s="2289"/>
      <c r="BR848" s="2289"/>
    </row>
    <row r="849" spans="1:70" ht="15.75" customHeight="1">
      <c r="A849" s="2289"/>
      <c r="B849" s="2289"/>
      <c r="C849" s="2289"/>
      <c r="D849" s="2289"/>
      <c r="E849" s="2289"/>
      <c r="F849" s="2289"/>
      <c r="G849" s="2290"/>
      <c r="H849" s="2289"/>
      <c r="I849" s="2289"/>
      <c r="J849" s="2290"/>
      <c r="K849" s="2289"/>
      <c r="L849" s="2289"/>
      <c r="M849" s="2290"/>
      <c r="N849" s="2290"/>
      <c r="O849" s="2290"/>
      <c r="P849" s="2290"/>
      <c r="Q849" s="2289"/>
      <c r="R849" s="2289"/>
      <c r="S849" s="2289"/>
      <c r="T849" s="2291"/>
      <c r="U849" s="2289"/>
      <c r="V849" s="2289"/>
      <c r="W849" s="2289"/>
      <c r="X849" s="2292"/>
      <c r="Y849" s="2292"/>
      <c r="Z849" s="2289"/>
      <c r="AA849" s="2289"/>
      <c r="AB849" s="2289"/>
      <c r="AC849" s="2289"/>
      <c r="AD849" s="2293"/>
      <c r="AE849" s="2293"/>
      <c r="AF849" s="2293"/>
      <c r="AG849" s="2293"/>
      <c r="AH849" s="2289"/>
      <c r="AI849" s="2289"/>
      <c r="AJ849" s="2294"/>
      <c r="AK849" s="2294"/>
      <c r="AL849" s="2289"/>
      <c r="AM849" s="2289"/>
      <c r="AN849" s="2289"/>
      <c r="AO849" s="2289"/>
      <c r="AP849" s="2289"/>
      <c r="AQ849" s="2289"/>
      <c r="AR849" s="2294"/>
      <c r="AS849" s="2294"/>
      <c r="AT849" s="2295"/>
      <c r="AU849" s="2295"/>
      <c r="AV849" s="2295"/>
      <c r="AW849" s="2295"/>
      <c r="AX849" s="2296"/>
      <c r="AY849" s="2289"/>
      <c r="AZ849" s="2289"/>
      <c r="BA849" s="2289"/>
      <c r="BB849" s="2289"/>
      <c r="BC849" s="2289"/>
      <c r="BD849" s="2289"/>
      <c r="BE849" s="2289"/>
      <c r="BF849" s="2289"/>
      <c r="BG849" s="2289"/>
      <c r="BH849" s="2289"/>
      <c r="BI849" s="2289"/>
      <c r="BJ849" s="2289"/>
      <c r="BK849" s="2289"/>
      <c r="BL849" s="2289"/>
      <c r="BM849" s="2289"/>
      <c r="BN849" s="2289"/>
      <c r="BO849" s="2289"/>
      <c r="BP849" s="2289"/>
      <c r="BQ849" s="2289"/>
      <c r="BR849" s="2289"/>
    </row>
    <row r="850" spans="1:70" ht="15.75" customHeight="1">
      <c r="A850" s="2289"/>
      <c r="B850" s="2289"/>
      <c r="C850" s="2289"/>
      <c r="D850" s="2289"/>
      <c r="E850" s="2289"/>
      <c r="F850" s="2289"/>
      <c r="G850" s="2290"/>
      <c r="H850" s="2289"/>
      <c r="I850" s="2289"/>
      <c r="J850" s="2290"/>
      <c r="K850" s="2289"/>
      <c r="L850" s="2289"/>
      <c r="M850" s="2290"/>
      <c r="N850" s="2290"/>
      <c r="O850" s="2290"/>
      <c r="P850" s="2290"/>
      <c r="Q850" s="2289"/>
      <c r="R850" s="2289"/>
      <c r="S850" s="2289"/>
      <c r="T850" s="2291"/>
      <c r="U850" s="2289"/>
      <c r="V850" s="2289"/>
      <c r="W850" s="2289"/>
      <c r="X850" s="2292"/>
      <c r="Y850" s="2292"/>
      <c r="Z850" s="2289"/>
      <c r="AA850" s="2289"/>
      <c r="AB850" s="2289"/>
      <c r="AC850" s="2289"/>
      <c r="AD850" s="2293"/>
      <c r="AE850" s="2293"/>
      <c r="AF850" s="2293"/>
      <c r="AG850" s="2293"/>
      <c r="AH850" s="2289"/>
      <c r="AI850" s="2289"/>
      <c r="AJ850" s="2294"/>
      <c r="AK850" s="2294"/>
      <c r="AL850" s="2289"/>
      <c r="AM850" s="2289"/>
      <c r="AN850" s="2289"/>
      <c r="AO850" s="2289"/>
      <c r="AP850" s="2289"/>
      <c r="AQ850" s="2289"/>
      <c r="AR850" s="2294"/>
      <c r="AS850" s="2294"/>
      <c r="AT850" s="2295"/>
      <c r="AU850" s="2295"/>
      <c r="AV850" s="2295"/>
      <c r="AW850" s="2295"/>
      <c r="AX850" s="2296"/>
      <c r="AY850" s="2289"/>
      <c r="AZ850" s="2289"/>
      <c r="BA850" s="2289"/>
      <c r="BB850" s="2289"/>
      <c r="BC850" s="2289"/>
      <c r="BD850" s="2289"/>
      <c r="BE850" s="2289"/>
      <c r="BF850" s="2289"/>
      <c r="BG850" s="2289"/>
      <c r="BH850" s="2289"/>
      <c r="BI850" s="2289"/>
      <c r="BJ850" s="2289"/>
      <c r="BK850" s="2289"/>
      <c r="BL850" s="2289"/>
      <c r="BM850" s="2289"/>
      <c r="BN850" s="2289"/>
      <c r="BO850" s="2289"/>
      <c r="BP850" s="2289"/>
      <c r="BQ850" s="2289"/>
      <c r="BR850" s="2289"/>
    </row>
    <row r="851" spans="1:70" ht="15.75" customHeight="1">
      <c r="A851" s="2289"/>
      <c r="B851" s="2289"/>
      <c r="C851" s="2289"/>
      <c r="D851" s="2289"/>
      <c r="E851" s="2289"/>
      <c r="F851" s="2289"/>
      <c r="G851" s="2290"/>
      <c r="H851" s="2289"/>
      <c r="I851" s="2289"/>
      <c r="J851" s="2290"/>
      <c r="K851" s="2289"/>
      <c r="L851" s="2289"/>
      <c r="M851" s="2290"/>
      <c r="N851" s="2290"/>
      <c r="O851" s="2290"/>
      <c r="P851" s="2290"/>
      <c r="Q851" s="2289"/>
      <c r="R851" s="2289"/>
      <c r="S851" s="2289"/>
      <c r="T851" s="2291"/>
      <c r="U851" s="2289"/>
      <c r="V851" s="2289"/>
      <c r="W851" s="2289"/>
      <c r="X851" s="2292"/>
      <c r="Y851" s="2292"/>
      <c r="Z851" s="2289"/>
      <c r="AA851" s="2289"/>
      <c r="AB851" s="2289"/>
      <c r="AC851" s="2289"/>
      <c r="AD851" s="2293"/>
      <c r="AE851" s="2293"/>
      <c r="AF851" s="2293"/>
      <c r="AG851" s="2293"/>
      <c r="AH851" s="2289"/>
      <c r="AI851" s="2289"/>
      <c r="AJ851" s="2294"/>
      <c r="AK851" s="2294"/>
      <c r="AL851" s="2289"/>
      <c r="AM851" s="2289"/>
      <c r="AN851" s="2289"/>
      <c r="AO851" s="2289"/>
      <c r="AP851" s="2289"/>
      <c r="AQ851" s="2289"/>
      <c r="AR851" s="2294"/>
      <c r="AS851" s="2294"/>
      <c r="AT851" s="2295"/>
      <c r="AU851" s="2295"/>
      <c r="AV851" s="2295"/>
      <c r="AW851" s="2295"/>
      <c r="AX851" s="2296"/>
      <c r="AY851" s="2289"/>
      <c r="AZ851" s="2289"/>
      <c r="BA851" s="2289"/>
      <c r="BB851" s="2289"/>
      <c r="BC851" s="2289"/>
      <c r="BD851" s="2289"/>
      <c r="BE851" s="2289"/>
      <c r="BF851" s="2289"/>
      <c r="BG851" s="2289"/>
      <c r="BH851" s="2289"/>
      <c r="BI851" s="2289"/>
      <c r="BJ851" s="2289"/>
      <c r="BK851" s="2289"/>
      <c r="BL851" s="2289"/>
      <c r="BM851" s="2289"/>
      <c r="BN851" s="2289"/>
      <c r="BO851" s="2289"/>
      <c r="BP851" s="2289"/>
      <c r="BQ851" s="2289"/>
      <c r="BR851" s="2289"/>
    </row>
    <row r="852" spans="1:70" ht="15.75" customHeight="1">
      <c r="A852" s="2289"/>
      <c r="B852" s="2289"/>
      <c r="C852" s="2289"/>
      <c r="D852" s="2289"/>
      <c r="E852" s="2289"/>
      <c r="F852" s="2289"/>
      <c r="G852" s="2290"/>
      <c r="H852" s="2289"/>
      <c r="I852" s="2289"/>
      <c r="J852" s="2290"/>
      <c r="K852" s="2289"/>
      <c r="L852" s="2289"/>
      <c r="M852" s="2290"/>
      <c r="N852" s="2290"/>
      <c r="O852" s="2290"/>
      <c r="P852" s="2290"/>
      <c r="Q852" s="2289"/>
      <c r="R852" s="2289"/>
      <c r="S852" s="2289"/>
      <c r="T852" s="2291"/>
      <c r="U852" s="2289"/>
      <c r="V852" s="2289"/>
      <c r="W852" s="2289"/>
      <c r="X852" s="2292"/>
      <c r="Y852" s="2292"/>
      <c r="Z852" s="2289"/>
      <c r="AA852" s="2289"/>
      <c r="AB852" s="2289"/>
      <c r="AC852" s="2289"/>
      <c r="AD852" s="2293"/>
      <c r="AE852" s="2293"/>
      <c r="AF852" s="2293"/>
      <c r="AG852" s="2293"/>
      <c r="AH852" s="2289"/>
      <c r="AI852" s="2289"/>
      <c r="AJ852" s="2294"/>
      <c r="AK852" s="2294"/>
      <c r="AL852" s="2289"/>
      <c r="AM852" s="2289"/>
      <c r="AN852" s="2289"/>
      <c r="AO852" s="2289"/>
      <c r="AP852" s="2289"/>
      <c r="AQ852" s="2289"/>
      <c r="AR852" s="2294"/>
      <c r="AS852" s="2294"/>
      <c r="AT852" s="2295"/>
      <c r="AU852" s="2295"/>
      <c r="AV852" s="2295"/>
      <c r="AW852" s="2295"/>
      <c r="AX852" s="2296"/>
      <c r="AY852" s="2289"/>
      <c r="AZ852" s="2289"/>
      <c r="BA852" s="2289"/>
      <c r="BB852" s="2289"/>
      <c r="BC852" s="2289"/>
      <c r="BD852" s="2289"/>
      <c r="BE852" s="2289"/>
      <c r="BF852" s="2289"/>
      <c r="BG852" s="2289"/>
      <c r="BH852" s="2289"/>
      <c r="BI852" s="2289"/>
      <c r="BJ852" s="2289"/>
      <c r="BK852" s="2289"/>
      <c r="BL852" s="2289"/>
      <c r="BM852" s="2289"/>
      <c r="BN852" s="2289"/>
      <c r="BO852" s="2289"/>
      <c r="BP852" s="2289"/>
      <c r="BQ852" s="2289"/>
      <c r="BR852" s="2289"/>
    </row>
    <row r="853" spans="1:70" ht="15.75" customHeight="1">
      <c r="A853" s="2289"/>
      <c r="B853" s="2289"/>
      <c r="C853" s="2289"/>
      <c r="D853" s="2289"/>
      <c r="E853" s="2289"/>
      <c r="F853" s="2289"/>
      <c r="G853" s="2290"/>
      <c r="H853" s="2289"/>
      <c r="I853" s="2289"/>
      <c r="J853" s="2290"/>
      <c r="K853" s="2289"/>
      <c r="L853" s="2289"/>
      <c r="M853" s="2290"/>
      <c r="N853" s="2290"/>
      <c r="O853" s="2290"/>
      <c r="P853" s="2290"/>
      <c r="Q853" s="2289"/>
      <c r="R853" s="2289"/>
      <c r="S853" s="2289"/>
      <c r="T853" s="2291"/>
      <c r="U853" s="2289"/>
      <c r="V853" s="2289"/>
      <c r="W853" s="2289"/>
      <c r="X853" s="2292"/>
      <c r="Y853" s="2292"/>
      <c r="Z853" s="2289"/>
      <c r="AA853" s="2289"/>
      <c r="AB853" s="2289"/>
      <c r="AC853" s="2289"/>
      <c r="AD853" s="2293"/>
      <c r="AE853" s="2293"/>
      <c r="AF853" s="2293"/>
      <c r="AG853" s="2293"/>
      <c r="AH853" s="2289"/>
      <c r="AI853" s="2289"/>
      <c r="AJ853" s="2294"/>
      <c r="AK853" s="2294"/>
      <c r="AL853" s="2289"/>
      <c r="AM853" s="2289"/>
      <c r="AN853" s="2289"/>
      <c r="AO853" s="2289"/>
      <c r="AP853" s="2289"/>
      <c r="AQ853" s="2289"/>
      <c r="AR853" s="2294"/>
      <c r="AS853" s="2294"/>
      <c r="AT853" s="2295"/>
      <c r="AU853" s="2295"/>
      <c r="AV853" s="2295"/>
      <c r="AW853" s="2295"/>
      <c r="AX853" s="2296"/>
      <c r="AY853" s="2289"/>
      <c r="AZ853" s="2289"/>
      <c r="BA853" s="2289"/>
      <c r="BB853" s="2289"/>
      <c r="BC853" s="2289"/>
      <c r="BD853" s="2289"/>
      <c r="BE853" s="2289"/>
      <c r="BF853" s="2289"/>
      <c r="BG853" s="2289"/>
      <c r="BH853" s="2289"/>
      <c r="BI853" s="2289"/>
      <c r="BJ853" s="2289"/>
      <c r="BK853" s="2289"/>
      <c r="BL853" s="2289"/>
      <c r="BM853" s="2289"/>
      <c r="BN853" s="2289"/>
      <c r="BO853" s="2289"/>
      <c r="BP853" s="2289"/>
      <c r="BQ853" s="2289"/>
      <c r="BR853" s="2289"/>
    </row>
    <row r="854" spans="1:70" ht="15.75" customHeight="1">
      <c r="A854" s="2289"/>
      <c r="B854" s="2289"/>
      <c r="C854" s="2289"/>
      <c r="D854" s="2289"/>
      <c r="E854" s="2289"/>
      <c r="F854" s="2289"/>
      <c r="G854" s="2290"/>
      <c r="H854" s="2289"/>
      <c r="I854" s="2289"/>
      <c r="J854" s="2290"/>
      <c r="K854" s="2289"/>
      <c r="L854" s="2289"/>
      <c r="M854" s="2290"/>
      <c r="N854" s="2290"/>
      <c r="O854" s="2290"/>
      <c r="P854" s="2290"/>
      <c r="Q854" s="2289"/>
      <c r="R854" s="2289"/>
      <c r="S854" s="2289"/>
      <c r="T854" s="2291"/>
      <c r="U854" s="2289"/>
      <c r="V854" s="2289"/>
      <c r="W854" s="2289"/>
      <c r="X854" s="2292"/>
      <c r="Y854" s="2292"/>
      <c r="Z854" s="2289"/>
      <c r="AA854" s="2289"/>
      <c r="AB854" s="2289"/>
      <c r="AC854" s="2289"/>
      <c r="AD854" s="2293"/>
      <c r="AE854" s="2293"/>
      <c r="AF854" s="2293"/>
      <c r="AG854" s="2293"/>
      <c r="AH854" s="2289"/>
      <c r="AI854" s="2289"/>
      <c r="AJ854" s="2294"/>
      <c r="AK854" s="2294"/>
      <c r="AL854" s="2289"/>
      <c r="AM854" s="2289"/>
      <c r="AN854" s="2289"/>
      <c r="AO854" s="2289"/>
      <c r="AP854" s="2289"/>
      <c r="AQ854" s="2289"/>
      <c r="AR854" s="2294"/>
      <c r="AS854" s="2294"/>
      <c r="AT854" s="2295"/>
      <c r="AU854" s="2295"/>
      <c r="AV854" s="2295"/>
      <c r="AW854" s="2295"/>
      <c r="AX854" s="2296"/>
      <c r="AY854" s="2289"/>
      <c r="AZ854" s="2289"/>
      <c r="BA854" s="2289"/>
      <c r="BB854" s="2289"/>
      <c r="BC854" s="2289"/>
      <c r="BD854" s="2289"/>
      <c r="BE854" s="2289"/>
      <c r="BF854" s="2289"/>
      <c r="BG854" s="2289"/>
      <c r="BH854" s="2289"/>
      <c r="BI854" s="2289"/>
      <c r="BJ854" s="2289"/>
      <c r="BK854" s="2289"/>
      <c r="BL854" s="2289"/>
      <c r="BM854" s="2289"/>
      <c r="BN854" s="2289"/>
      <c r="BO854" s="2289"/>
      <c r="BP854" s="2289"/>
      <c r="BQ854" s="2289"/>
      <c r="BR854" s="2289"/>
    </row>
    <row r="855" spans="1:70" ht="15.75" customHeight="1">
      <c r="A855" s="2289"/>
      <c r="B855" s="2289"/>
      <c r="C855" s="2289"/>
      <c r="D855" s="2289"/>
      <c r="E855" s="2289"/>
      <c r="F855" s="2289"/>
      <c r="G855" s="2290"/>
      <c r="H855" s="2289"/>
      <c r="I855" s="2289"/>
      <c r="J855" s="2290"/>
      <c r="K855" s="2289"/>
      <c r="L855" s="2289"/>
      <c r="M855" s="2290"/>
      <c r="N855" s="2290"/>
      <c r="O855" s="2290"/>
      <c r="P855" s="2290"/>
      <c r="Q855" s="2289"/>
      <c r="R855" s="2289"/>
      <c r="S855" s="2289"/>
      <c r="T855" s="2291"/>
      <c r="U855" s="2289"/>
      <c r="V855" s="2289"/>
      <c r="W855" s="2289"/>
      <c r="X855" s="2292"/>
      <c r="Y855" s="2292"/>
      <c r="Z855" s="2289"/>
      <c r="AA855" s="2289"/>
      <c r="AB855" s="2289"/>
      <c r="AC855" s="2289"/>
      <c r="AD855" s="2293"/>
      <c r="AE855" s="2293"/>
      <c r="AF855" s="2293"/>
      <c r="AG855" s="2293"/>
      <c r="AH855" s="2289"/>
      <c r="AI855" s="2289"/>
      <c r="AJ855" s="2294"/>
      <c r="AK855" s="2294"/>
      <c r="AL855" s="2289"/>
      <c r="AM855" s="2289"/>
      <c r="AN855" s="2289"/>
      <c r="AO855" s="2289"/>
      <c r="AP855" s="2289"/>
      <c r="AQ855" s="2289"/>
      <c r="AR855" s="2294"/>
      <c r="AS855" s="2294"/>
      <c r="AT855" s="2295"/>
      <c r="AU855" s="2295"/>
      <c r="AV855" s="2295"/>
      <c r="AW855" s="2295"/>
      <c r="AX855" s="2296"/>
      <c r="AY855" s="2289"/>
      <c r="AZ855" s="2289"/>
      <c r="BA855" s="2289"/>
      <c r="BB855" s="2289"/>
      <c r="BC855" s="2289"/>
      <c r="BD855" s="2289"/>
      <c r="BE855" s="2289"/>
      <c r="BF855" s="2289"/>
      <c r="BG855" s="2289"/>
      <c r="BH855" s="2289"/>
      <c r="BI855" s="2289"/>
      <c r="BJ855" s="2289"/>
      <c r="BK855" s="2289"/>
      <c r="BL855" s="2289"/>
      <c r="BM855" s="2289"/>
      <c r="BN855" s="2289"/>
      <c r="BO855" s="2289"/>
      <c r="BP855" s="2289"/>
      <c r="BQ855" s="2289"/>
      <c r="BR855" s="2289"/>
    </row>
    <row r="856" spans="1:70" ht="15.75" customHeight="1">
      <c r="A856" s="2289"/>
      <c r="B856" s="2289"/>
      <c r="C856" s="2289"/>
      <c r="D856" s="2289"/>
      <c r="E856" s="2289"/>
      <c r="F856" s="2289"/>
      <c r="G856" s="2290"/>
      <c r="H856" s="2289"/>
      <c r="I856" s="2289"/>
      <c r="J856" s="2290"/>
      <c r="K856" s="2289"/>
      <c r="L856" s="2289"/>
      <c r="M856" s="2290"/>
      <c r="N856" s="2290"/>
      <c r="O856" s="2290"/>
      <c r="P856" s="2290"/>
      <c r="Q856" s="2289"/>
      <c r="R856" s="2289"/>
      <c r="S856" s="2289"/>
      <c r="T856" s="2291"/>
      <c r="U856" s="2289"/>
      <c r="V856" s="2289"/>
      <c r="W856" s="2289"/>
      <c r="X856" s="2292"/>
      <c r="Y856" s="2292"/>
      <c r="Z856" s="2289"/>
      <c r="AA856" s="2289"/>
      <c r="AB856" s="2289"/>
      <c r="AC856" s="2289"/>
      <c r="AD856" s="2293"/>
      <c r="AE856" s="2293"/>
      <c r="AF856" s="2293"/>
      <c r="AG856" s="2293"/>
      <c r="AH856" s="2289"/>
      <c r="AI856" s="2289"/>
      <c r="AJ856" s="2294"/>
      <c r="AK856" s="2294"/>
      <c r="AL856" s="2289"/>
      <c r="AM856" s="2289"/>
      <c r="AN856" s="2289"/>
      <c r="AO856" s="2289"/>
      <c r="AP856" s="2289"/>
      <c r="AQ856" s="2289"/>
      <c r="AR856" s="2294"/>
      <c r="AS856" s="2294"/>
      <c r="AT856" s="2295"/>
      <c r="AU856" s="2295"/>
      <c r="AV856" s="2295"/>
      <c r="AW856" s="2295"/>
      <c r="AX856" s="2296"/>
      <c r="AY856" s="2289"/>
      <c r="AZ856" s="2289"/>
      <c r="BA856" s="2289"/>
      <c r="BB856" s="2289"/>
      <c r="BC856" s="2289"/>
      <c r="BD856" s="2289"/>
      <c r="BE856" s="2289"/>
      <c r="BF856" s="2289"/>
      <c r="BG856" s="2289"/>
      <c r="BH856" s="2289"/>
      <c r="BI856" s="2289"/>
      <c r="BJ856" s="2289"/>
      <c r="BK856" s="2289"/>
      <c r="BL856" s="2289"/>
      <c r="BM856" s="2289"/>
      <c r="BN856" s="2289"/>
      <c r="BO856" s="2289"/>
      <c r="BP856" s="2289"/>
      <c r="BQ856" s="2289"/>
      <c r="BR856" s="2289"/>
    </row>
    <row r="857" spans="1:70" ht="15.75" customHeight="1">
      <c r="A857" s="2289"/>
      <c r="B857" s="2289"/>
      <c r="C857" s="2289"/>
      <c r="D857" s="2289"/>
      <c r="E857" s="2289"/>
      <c r="F857" s="2289"/>
      <c r="G857" s="2290"/>
      <c r="H857" s="2289"/>
      <c r="I857" s="2289"/>
      <c r="J857" s="2290"/>
      <c r="K857" s="2289"/>
      <c r="L857" s="2289"/>
      <c r="M857" s="2290"/>
      <c r="N857" s="2290"/>
      <c r="O857" s="2290"/>
      <c r="P857" s="2290"/>
      <c r="Q857" s="2289"/>
      <c r="R857" s="2289"/>
      <c r="S857" s="2289"/>
      <c r="T857" s="2291"/>
      <c r="U857" s="2289"/>
      <c r="V857" s="2289"/>
      <c r="W857" s="2289"/>
      <c r="X857" s="2292"/>
      <c r="Y857" s="2292"/>
      <c r="Z857" s="2289"/>
      <c r="AA857" s="2289"/>
      <c r="AB857" s="2289"/>
      <c r="AC857" s="2289"/>
      <c r="AD857" s="2293"/>
      <c r="AE857" s="2293"/>
      <c r="AF857" s="2293"/>
      <c r="AG857" s="2293"/>
      <c r="AH857" s="2289"/>
      <c r="AI857" s="2289"/>
      <c r="AJ857" s="2294"/>
      <c r="AK857" s="2294"/>
      <c r="AL857" s="2289"/>
      <c r="AM857" s="2289"/>
      <c r="AN857" s="2289"/>
      <c r="AO857" s="2289"/>
      <c r="AP857" s="2289"/>
      <c r="AQ857" s="2289"/>
      <c r="AR857" s="2294"/>
      <c r="AS857" s="2294"/>
      <c r="AT857" s="2295"/>
      <c r="AU857" s="2295"/>
      <c r="AV857" s="2295"/>
      <c r="AW857" s="2295"/>
      <c r="AX857" s="2296"/>
      <c r="AY857" s="2289"/>
      <c r="AZ857" s="2289"/>
      <c r="BA857" s="2289"/>
      <c r="BB857" s="2289"/>
      <c r="BC857" s="2289"/>
      <c r="BD857" s="2289"/>
      <c r="BE857" s="2289"/>
      <c r="BF857" s="2289"/>
      <c r="BG857" s="2289"/>
      <c r="BH857" s="2289"/>
      <c r="BI857" s="2289"/>
      <c r="BJ857" s="2289"/>
      <c r="BK857" s="2289"/>
      <c r="BL857" s="2289"/>
      <c r="BM857" s="2289"/>
      <c r="BN857" s="2289"/>
      <c r="BO857" s="2289"/>
      <c r="BP857" s="2289"/>
      <c r="BQ857" s="2289"/>
      <c r="BR857" s="2289"/>
    </row>
    <row r="858" spans="1:70" ht="15.75" customHeight="1">
      <c r="A858" s="2289"/>
      <c r="B858" s="2289"/>
      <c r="C858" s="2289"/>
      <c r="D858" s="2289"/>
      <c r="E858" s="2289"/>
      <c r="F858" s="2289"/>
      <c r="G858" s="2290"/>
      <c r="H858" s="2289"/>
      <c r="I858" s="2289"/>
      <c r="J858" s="2290"/>
      <c r="K858" s="2289"/>
      <c r="L858" s="2289"/>
      <c r="M858" s="2290"/>
      <c r="N858" s="2290"/>
      <c r="O858" s="2290"/>
      <c r="P858" s="2290"/>
      <c r="Q858" s="2289"/>
      <c r="R858" s="2289"/>
      <c r="S858" s="2289"/>
      <c r="T858" s="2291"/>
      <c r="U858" s="2289"/>
      <c r="V858" s="2289"/>
      <c r="W858" s="2289"/>
      <c r="X858" s="2292"/>
      <c r="Y858" s="2292"/>
      <c r="Z858" s="2289"/>
      <c r="AA858" s="2289"/>
      <c r="AB858" s="2289"/>
      <c r="AC858" s="2289"/>
      <c r="AD858" s="2293"/>
      <c r="AE858" s="2293"/>
      <c r="AF858" s="2293"/>
      <c r="AG858" s="2293"/>
      <c r="AH858" s="2289"/>
      <c r="AI858" s="2289"/>
      <c r="AJ858" s="2294"/>
      <c r="AK858" s="2294"/>
      <c r="AL858" s="2289"/>
      <c r="AM858" s="2289"/>
      <c r="AN858" s="2289"/>
      <c r="AO858" s="2289"/>
      <c r="AP858" s="2289"/>
      <c r="AQ858" s="2289"/>
      <c r="AR858" s="2294"/>
      <c r="AS858" s="2294"/>
      <c r="AT858" s="2295"/>
      <c r="AU858" s="2295"/>
      <c r="AV858" s="2295"/>
      <c r="AW858" s="2295"/>
      <c r="AX858" s="2296"/>
      <c r="AY858" s="2289"/>
      <c r="AZ858" s="2289"/>
      <c r="BA858" s="2289"/>
      <c r="BB858" s="2289"/>
      <c r="BC858" s="2289"/>
      <c r="BD858" s="2289"/>
      <c r="BE858" s="2289"/>
      <c r="BF858" s="2289"/>
      <c r="BG858" s="2289"/>
      <c r="BH858" s="2289"/>
      <c r="BI858" s="2289"/>
      <c r="BJ858" s="2289"/>
      <c r="BK858" s="2289"/>
      <c r="BL858" s="2289"/>
      <c r="BM858" s="2289"/>
      <c r="BN858" s="2289"/>
      <c r="BO858" s="2289"/>
      <c r="BP858" s="2289"/>
      <c r="BQ858" s="2289"/>
      <c r="BR858" s="2289"/>
    </row>
    <row r="859" spans="1:70" ht="15.75" customHeight="1">
      <c r="A859" s="2289"/>
      <c r="B859" s="2289"/>
      <c r="C859" s="2289"/>
      <c r="D859" s="2289"/>
      <c r="E859" s="2289"/>
      <c r="F859" s="2289"/>
      <c r="G859" s="2290"/>
      <c r="H859" s="2289"/>
      <c r="I859" s="2289"/>
      <c r="J859" s="2290"/>
      <c r="K859" s="2289"/>
      <c r="L859" s="2289"/>
      <c r="M859" s="2290"/>
      <c r="N859" s="2290"/>
      <c r="O859" s="2290"/>
      <c r="P859" s="2290"/>
      <c r="Q859" s="2289"/>
      <c r="R859" s="2289"/>
      <c r="S859" s="2289"/>
      <c r="T859" s="2291"/>
      <c r="U859" s="2289"/>
      <c r="V859" s="2289"/>
      <c r="W859" s="2289"/>
      <c r="X859" s="2292"/>
      <c r="Y859" s="2292"/>
      <c r="Z859" s="2289"/>
      <c r="AA859" s="2289"/>
      <c r="AB859" s="2289"/>
      <c r="AC859" s="2289"/>
      <c r="AD859" s="2293"/>
      <c r="AE859" s="2293"/>
      <c r="AF859" s="2293"/>
      <c r="AG859" s="2293"/>
      <c r="AH859" s="2289"/>
      <c r="AI859" s="2289"/>
      <c r="AJ859" s="2294"/>
      <c r="AK859" s="2294"/>
      <c r="AL859" s="2289"/>
      <c r="AM859" s="2289"/>
      <c r="AN859" s="2289"/>
      <c r="AO859" s="2289"/>
      <c r="AP859" s="2289"/>
      <c r="AQ859" s="2289"/>
      <c r="AR859" s="2294"/>
      <c r="AS859" s="2294"/>
      <c r="AT859" s="2295"/>
      <c r="AU859" s="2295"/>
      <c r="AV859" s="2295"/>
      <c r="AW859" s="2295"/>
      <c r="AX859" s="2296"/>
      <c r="AY859" s="2289"/>
      <c r="AZ859" s="2289"/>
      <c r="BA859" s="2289"/>
      <c r="BB859" s="2289"/>
      <c r="BC859" s="2289"/>
      <c r="BD859" s="2289"/>
      <c r="BE859" s="2289"/>
      <c r="BF859" s="2289"/>
      <c r="BG859" s="2289"/>
      <c r="BH859" s="2289"/>
      <c r="BI859" s="2289"/>
      <c r="BJ859" s="2289"/>
      <c r="BK859" s="2289"/>
      <c r="BL859" s="2289"/>
      <c r="BM859" s="2289"/>
      <c r="BN859" s="2289"/>
      <c r="BO859" s="2289"/>
      <c r="BP859" s="2289"/>
      <c r="BQ859" s="2289"/>
      <c r="BR859" s="2289"/>
    </row>
    <row r="860" spans="1:70" ht="15.75" customHeight="1">
      <c r="A860" s="2289"/>
      <c r="B860" s="2289"/>
      <c r="C860" s="2289"/>
      <c r="D860" s="2289"/>
      <c r="E860" s="2289"/>
      <c r="F860" s="2289"/>
      <c r="G860" s="2290"/>
      <c r="H860" s="2289"/>
      <c r="I860" s="2289"/>
      <c r="J860" s="2290"/>
      <c r="K860" s="2289"/>
      <c r="L860" s="2289"/>
      <c r="M860" s="2290"/>
      <c r="N860" s="2290"/>
      <c r="O860" s="2290"/>
      <c r="P860" s="2290"/>
      <c r="Q860" s="2289"/>
      <c r="R860" s="2289"/>
      <c r="S860" s="2289"/>
      <c r="T860" s="2291"/>
      <c r="U860" s="2289"/>
      <c r="V860" s="2289"/>
      <c r="W860" s="2289"/>
      <c r="X860" s="2292"/>
      <c r="Y860" s="2292"/>
      <c r="Z860" s="2289"/>
      <c r="AA860" s="2289"/>
      <c r="AB860" s="2289"/>
      <c r="AC860" s="2289"/>
      <c r="AD860" s="2293"/>
      <c r="AE860" s="2293"/>
      <c r="AF860" s="2293"/>
      <c r="AG860" s="2293"/>
      <c r="AH860" s="2289"/>
      <c r="AI860" s="2289"/>
      <c r="AJ860" s="2294"/>
      <c r="AK860" s="2294"/>
      <c r="AL860" s="2289"/>
      <c r="AM860" s="2289"/>
      <c r="AN860" s="2289"/>
      <c r="AO860" s="2289"/>
      <c r="AP860" s="2289"/>
      <c r="AQ860" s="2289"/>
      <c r="AR860" s="2294"/>
      <c r="AS860" s="2294"/>
      <c r="AT860" s="2295"/>
      <c r="AU860" s="2295"/>
      <c r="AV860" s="2295"/>
      <c r="AW860" s="2295"/>
      <c r="AX860" s="2296"/>
      <c r="AY860" s="2289"/>
      <c r="AZ860" s="2289"/>
      <c r="BA860" s="2289"/>
      <c r="BB860" s="2289"/>
      <c r="BC860" s="2289"/>
      <c r="BD860" s="2289"/>
      <c r="BE860" s="2289"/>
      <c r="BF860" s="2289"/>
      <c r="BG860" s="2289"/>
      <c r="BH860" s="2289"/>
      <c r="BI860" s="2289"/>
      <c r="BJ860" s="2289"/>
      <c r="BK860" s="2289"/>
      <c r="BL860" s="2289"/>
      <c r="BM860" s="2289"/>
      <c r="BN860" s="2289"/>
      <c r="BO860" s="2289"/>
      <c r="BP860" s="2289"/>
      <c r="BQ860" s="2289"/>
      <c r="BR860" s="2289"/>
    </row>
    <row r="861" spans="1:70" ht="15.75" customHeight="1">
      <c r="A861" s="2289"/>
      <c r="B861" s="2289"/>
      <c r="C861" s="2289"/>
      <c r="D861" s="2289"/>
      <c r="E861" s="2289"/>
      <c r="F861" s="2289"/>
      <c r="G861" s="2290"/>
      <c r="H861" s="2289"/>
      <c r="I861" s="2289"/>
      <c r="J861" s="2290"/>
      <c r="K861" s="2289"/>
      <c r="L861" s="2289"/>
      <c r="M861" s="2290"/>
      <c r="N861" s="2290"/>
      <c r="O861" s="2290"/>
      <c r="P861" s="2290"/>
      <c r="Q861" s="2289"/>
      <c r="R861" s="2289"/>
      <c r="S861" s="2289"/>
      <c r="T861" s="2291"/>
      <c r="U861" s="2289"/>
      <c r="V861" s="2289"/>
      <c r="W861" s="2289"/>
      <c r="X861" s="2292"/>
      <c r="Y861" s="2292"/>
      <c r="Z861" s="2289"/>
      <c r="AA861" s="2289"/>
      <c r="AB861" s="2289"/>
      <c r="AC861" s="2289"/>
      <c r="AD861" s="2293"/>
      <c r="AE861" s="2293"/>
      <c r="AF861" s="2293"/>
      <c r="AG861" s="2293"/>
      <c r="AH861" s="2289"/>
      <c r="AI861" s="2289"/>
      <c r="AJ861" s="2294"/>
      <c r="AK861" s="2294"/>
      <c r="AL861" s="2289"/>
      <c r="AM861" s="2289"/>
      <c r="AN861" s="2289"/>
      <c r="AO861" s="2289"/>
      <c r="AP861" s="2289"/>
      <c r="AQ861" s="2289"/>
      <c r="AR861" s="2294"/>
      <c r="AS861" s="2294"/>
      <c r="AT861" s="2295"/>
      <c r="AU861" s="2295"/>
      <c r="AV861" s="2295"/>
      <c r="AW861" s="2295"/>
      <c r="AX861" s="2296"/>
      <c r="AY861" s="2289"/>
      <c r="AZ861" s="2289"/>
      <c r="BA861" s="2289"/>
      <c r="BB861" s="2289"/>
      <c r="BC861" s="2289"/>
      <c r="BD861" s="2289"/>
      <c r="BE861" s="2289"/>
      <c r="BF861" s="2289"/>
      <c r="BG861" s="2289"/>
      <c r="BH861" s="2289"/>
      <c r="BI861" s="2289"/>
      <c r="BJ861" s="2289"/>
      <c r="BK861" s="2289"/>
      <c r="BL861" s="2289"/>
      <c r="BM861" s="2289"/>
      <c r="BN861" s="2289"/>
      <c r="BO861" s="2289"/>
      <c r="BP861" s="2289"/>
      <c r="BQ861" s="2289"/>
      <c r="BR861" s="2289"/>
    </row>
    <row r="862" spans="1:70" ht="15.75" customHeight="1">
      <c r="A862" s="2289"/>
      <c r="B862" s="2289"/>
      <c r="C862" s="2289"/>
      <c r="D862" s="2289"/>
      <c r="E862" s="2289"/>
      <c r="F862" s="2289"/>
      <c r="G862" s="2290"/>
      <c r="H862" s="2289"/>
      <c r="I862" s="2289"/>
      <c r="J862" s="2290"/>
      <c r="K862" s="2289"/>
      <c r="L862" s="2289"/>
      <c r="M862" s="2290"/>
      <c r="N862" s="2290"/>
      <c r="O862" s="2290"/>
      <c r="P862" s="2290"/>
      <c r="Q862" s="2289"/>
      <c r="R862" s="2289"/>
      <c r="S862" s="2289"/>
      <c r="T862" s="2291"/>
      <c r="U862" s="2289"/>
      <c r="V862" s="2289"/>
      <c r="W862" s="2289"/>
      <c r="X862" s="2292"/>
      <c r="Y862" s="2292"/>
      <c r="Z862" s="2289"/>
      <c r="AA862" s="2289"/>
      <c r="AB862" s="2289"/>
      <c r="AC862" s="2289"/>
      <c r="AD862" s="2293"/>
      <c r="AE862" s="2293"/>
      <c r="AF862" s="2293"/>
      <c r="AG862" s="2293"/>
      <c r="AH862" s="2289"/>
      <c r="AI862" s="2289"/>
      <c r="AJ862" s="2294"/>
      <c r="AK862" s="2294"/>
      <c r="AL862" s="2289"/>
      <c r="AM862" s="2289"/>
      <c r="AN862" s="2289"/>
      <c r="AO862" s="2289"/>
      <c r="AP862" s="2289"/>
      <c r="AQ862" s="2289"/>
      <c r="AR862" s="2294"/>
      <c r="AS862" s="2294"/>
      <c r="AT862" s="2295"/>
      <c r="AU862" s="2295"/>
      <c r="AV862" s="2295"/>
      <c r="AW862" s="2295"/>
      <c r="AX862" s="2296"/>
      <c r="AY862" s="2289"/>
      <c r="AZ862" s="2289"/>
      <c r="BA862" s="2289"/>
      <c r="BB862" s="2289"/>
      <c r="BC862" s="2289"/>
      <c r="BD862" s="2289"/>
      <c r="BE862" s="2289"/>
      <c r="BF862" s="2289"/>
      <c r="BG862" s="2289"/>
      <c r="BH862" s="2289"/>
      <c r="BI862" s="2289"/>
      <c r="BJ862" s="2289"/>
      <c r="BK862" s="2289"/>
      <c r="BL862" s="2289"/>
      <c r="BM862" s="2289"/>
      <c r="BN862" s="2289"/>
      <c r="BO862" s="2289"/>
      <c r="BP862" s="2289"/>
      <c r="BQ862" s="2289"/>
      <c r="BR862" s="2289"/>
    </row>
    <row r="863" spans="1:70" ht="15.75" customHeight="1">
      <c r="A863" s="2289"/>
      <c r="B863" s="2289"/>
      <c r="C863" s="2289"/>
      <c r="D863" s="2289"/>
      <c r="E863" s="2289"/>
      <c r="F863" s="2289"/>
      <c r="G863" s="2290"/>
      <c r="H863" s="2289"/>
      <c r="I863" s="2289"/>
      <c r="J863" s="2290"/>
      <c r="K863" s="2289"/>
      <c r="L863" s="2289"/>
      <c r="M863" s="2290"/>
      <c r="N863" s="2290"/>
      <c r="O863" s="2290"/>
      <c r="P863" s="2290"/>
      <c r="Q863" s="2289"/>
      <c r="R863" s="2289"/>
      <c r="S863" s="2289"/>
      <c r="T863" s="2291"/>
      <c r="U863" s="2289"/>
      <c r="V863" s="2289"/>
      <c r="W863" s="2289"/>
      <c r="X863" s="2292"/>
      <c r="Y863" s="2292"/>
      <c r="Z863" s="2289"/>
      <c r="AA863" s="2289"/>
      <c r="AB863" s="2289"/>
      <c r="AC863" s="2289"/>
      <c r="AD863" s="2293"/>
      <c r="AE863" s="2293"/>
      <c r="AF863" s="2293"/>
      <c r="AG863" s="2293"/>
      <c r="AH863" s="2289"/>
      <c r="AI863" s="2289"/>
      <c r="AJ863" s="2294"/>
      <c r="AK863" s="2294"/>
      <c r="AL863" s="2289"/>
      <c r="AM863" s="2289"/>
      <c r="AN863" s="2289"/>
      <c r="AO863" s="2289"/>
      <c r="AP863" s="2289"/>
      <c r="AQ863" s="2289"/>
      <c r="AR863" s="2294"/>
      <c r="AS863" s="2294"/>
      <c r="AT863" s="2295"/>
      <c r="AU863" s="2295"/>
      <c r="AV863" s="2295"/>
      <c r="AW863" s="2295"/>
      <c r="AX863" s="2296"/>
      <c r="AY863" s="2289"/>
      <c r="AZ863" s="2289"/>
      <c r="BA863" s="2289"/>
      <c r="BB863" s="2289"/>
      <c r="BC863" s="2289"/>
      <c r="BD863" s="2289"/>
      <c r="BE863" s="2289"/>
      <c r="BF863" s="2289"/>
      <c r="BG863" s="2289"/>
      <c r="BH863" s="2289"/>
      <c r="BI863" s="2289"/>
      <c r="BJ863" s="2289"/>
      <c r="BK863" s="2289"/>
      <c r="BL863" s="2289"/>
      <c r="BM863" s="2289"/>
      <c r="BN863" s="2289"/>
      <c r="BO863" s="2289"/>
      <c r="BP863" s="2289"/>
      <c r="BQ863" s="2289"/>
      <c r="BR863" s="2289"/>
    </row>
    <row r="864" spans="1:70" ht="15.75" customHeight="1">
      <c r="A864" s="2289"/>
      <c r="B864" s="2289"/>
      <c r="C864" s="2289"/>
      <c r="D864" s="2289"/>
      <c r="E864" s="2289"/>
      <c r="F864" s="2289"/>
      <c r="G864" s="2290"/>
      <c r="H864" s="2289"/>
      <c r="I864" s="2289"/>
      <c r="J864" s="2290"/>
      <c r="K864" s="2289"/>
      <c r="L864" s="2289"/>
      <c r="M864" s="2290"/>
      <c r="N864" s="2290"/>
      <c r="O864" s="2290"/>
      <c r="P864" s="2290"/>
      <c r="Q864" s="2289"/>
      <c r="R864" s="2289"/>
      <c r="S864" s="2289"/>
      <c r="T864" s="2291"/>
      <c r="U864" s="2289"/>
      <c r="V864" s="2289"/>
      <c r="W864" s="2289"/>
      <c r="X864" s="2292"/>
      <c r="Y864" s="2292"/>
      <c r="Z864" s="2289"/>
      <c r="AA864" s="2289"/>
      <c r="AB864" s="2289"/>
      <c r="AC864" s="2289"/>
      <c r="AD864" s="2293"/>
      <c r="AE864" s="2293"/>
      <c r="AF864" s="2293"/>
      <c r="AG864" s="2293"/>
      <c r="AH864" s="2289"/>
      <c r="AI864" s="2289"/>
      <c r="AJ864" s="2294"/>
      <c r="AK864" s="2294"/>
      <c r="AL864" s="2289"/>
      <c r="AM864" s="2289"/>
      <c r="AN864" s="2289"/>
      <c r="AO864" s="2289"/>
      <c r="AP864" s="2289"/>
      <c r="AQ864" s="2289"/>
      <c r="AR864" s="2294"/>
      <c r="AS864" s="2294"/>
      <c r="AT864" s="2295"/>
      <c r="AU864" s="2295"/>
      <c r="AV864" s="2295"/>
      <c r="AW864" s="2295"/>
      <c r="AX864" s="2296"/>
      <c r="AY864" s="2289"/>
      <c r="AZ864" s="2289"/>
      <c r="BA864" s="2289"/>
      <c r="BB864" s="2289"/>
      <c r="BC864" s="2289"/>
      <c r="BD864" s="2289"/>
      <c r="BE864" s="2289"/>
      <c r="BF864" s="2289"/>
      <c r="BG864" s="2289"/>
      <c r="BH864" s="2289"/>
      <c r="BI864" s="2289"/>
      <c r="BJ864" s="2289"/>
      <c r="BK864" s="2289"/>
      <c r="BL864" s="2289"/>
      <c r="BM864" s="2289"/>
      <c r="BN864" s="2289"/>
      <c r="BO864" s="2289"/>
      <c r="BP864" s="2289"/>
      <c r="BQ864" s="2289"/>
      <c r="BR864" s="2289"/>
    </row>
    <row r="865" spans="1:70" ht="15.75" customHeight="1">
      <c r="A865" s="2289"/>
      <c r="B865" s="2289"/>
      <c r="C865" s="2289"/>
      <c r="D865" s="2289"/>
      <c r="E865" s="2289"/>
      <c r="F865" s="2289"/>
      <c r="G865" s="2290"/>
      <c r="H865" s="2289"/>
      <c r="I865" s="2289"/>
      <c r="J865" s="2290"/>
      <c r="K865" s="2289"/>
      <c r="L865" s="2289"/>
      <c r="M865" s="2290"/>
      <c r="N865" s="2290"/>
      <c r="O865" s="2290"/>
      <c r="P865" s="2290"/>
      <c r="Q865" s="2289"/>
      <c r="R865" s="2289"/>
      <c r="S865" s="2289"/>
      <c r="T865" s="2291"/>
      <c r="U865" s="2289"/>
      <c r="V865" s="2289"/>
      <c r="W865" s="2289"/>
      <c r="X865" s="2292"/>
      <c r="Y865" s="2292"/>
      <c r="Z865" s="2289"/>
      <c r="AA865" s="2289"/>
      <c r="AB865" s="2289"/>
      <c r="AC865" s="2289"/>
      <c r="AD865" s="2293"/>
      <c r="AE865" s="2293"/>
      <c r="AF865" s="2293"/>
      <c r="AG865" s="2293"/>
      <c r="AH865" s="2289"/>
      <c r="AI865" s="2289"/>
      <c r="AJ865" s="2294"/>
      <c r="AK865" s="2294"/>
      <c r="AL865" s="2289"/>
      <c r="AM865" s="2289"/>
      <c r="AN865" s="2289"/>
      <c r="AO865" s="2289"/>
      <c r="AP865" s="2289"/>
      <c r="AQ865" s="2289"/>
      <c r="AR865" s="2294"/>
      <c r="AS865" s="2294"/>
      <c r="AT865" s="2295"/>
      <c r="AU865" s="2295"/>
      <c r="AV865" s="2295"/>
      <c r="AW865" s="2295"/>
      <c r="AX865" s="2296"/>
      <c r="AY865" s="2289"/>
      <c r="AZ865" s="2289"/>
      <c r="BA865" s="2289"/>
      <c r="BB865" s="2289"/>
      <c r="BC865" s="2289"/>
      <c r="BD865" s="2289"/>
      <c r="BE865" s="2289"/>
      <c r="BF865" s="2289"/>
      <c r="BG865" s="2289"/>
      <c r="BH865" s="2289"/>
      <c r="BI865" s="2289"/>
      <c r="BJ865" s="2289"/>
      <c r="BK865" s="2289"/>
      <c r="BL865" s="2289"/>
      <c r="BM865" s="2289"/>
      <c r="BN865" s="2289"/>
      <c r="BO865" s="2289"/>
      <c r="BP865" s="2289"/>
      <c r="BQ865" s="2289"/>
      <c r="BR865" s="2289"/>
    </row>
    <row r="866" spans="1:70" ht="15.75" customHeight="1">
      <c r="A866" s="2289"/>
      <c r="B866" s="2289"/>
      <c r="C866" s="2289"/>
      <c r="D866" s="2289"/>
      <c r="E866" s="2289"/>
      <c r="F866" s="2289"/>
      <c r="G866" s="2290"/>
      <c r="H866" s="2289"/>
      <c r="I866" s="2289"/>
      <c r="J866" s="2290"/>
      <c r="K866" s="2289"/>
      <c r="L866" s="2289"/>
      <c r="M866" s="2290"/>
      <c r="N866" s="2290"/>
      <c r="O866" s="2290"/>
      <c r="P866" s="2290"/>
      <c r="Q866" s="2289"/>
      <c r="R866" s="2289"/>
      <c r="S866" s="2289"/>
      <c r="T866" s="2291"/>
      <c r="U866" s="2289"/>
      <c r="V866" s="2289"/>
      <c r="W866" s="2289"/>
      <c r="X866" s="2292"/>
      <c r="Y866" s="2292"/>
      <c r="Z866" s="2289"/>
      <c r="AA866" s="2289"/>
      <c r="AB866" s="2289"/>
      <c r="AC866" s="2289"/>
      <c r="AD866" s="2293"/>
      <c r="AE866" s="2293"/>
      <c r="AF866" s="2293"/>
      <c r="AG866" s="2293"/>
      <c r="AH866" s="2289"/>
      <c r="AI866" s="2289"/>
      <c r="AJ866" s="2294"/>
      <c r="AK866" s="2294"/>
      <c r="AL866" s="2289"/>
      <c r="AM866" s="2289"/>
      <c r="AN866" s="2289"/>
      <c r="AO866" s="2289"/>
      <c r="AP866" s="2289"/>
      <c r="AQ866" s="2289"/>
      <c r="AR866" s="2294"/>
      <c r="AS866" s="2294"/>
      <c r="AT866" s="2295"/>
      <c r="AU866" s="2295"/>
      <c r="AV866" s="2295"/>
      <c r="AW866" s="2295"/>
      <c r="AX866" s="2296"/>
      <c r="AY866" s="2289"/>
      <c r="AZ866" s="2289"/>
      <c r="BA866" s="2289"/>
      <c r="BB866" s="2289"/>
      <c r="BC866" s="2289"/>
      <c r="BD866" s="2289"/>
      <c r="BE866" s="2289"/>
      <c r="BF866" s="2289"/>
      <c r="BG866" s="2289"/>
      <c r="BH866" s="2289"/>
      <c r="BI866" s="2289"/>
      <c r="BJ866" s="2289"/>
      <c r="BK866" s="2289"/>
      <c r="BL866" s="2289"/>
      <c r="BM866" s="2289"/>
      <c r="BN866" s="2289"/>
      <c r="BO866" s="2289"/>
      <c r="BP866" s="2289"/>
      <c r="BQ866" s="2289"/>
      <c r="BR866" s="2289"/>
    </row>
    <row r="867" spans="1:70" ht="15.75" customHeight="1">
      <c r="A867" s="2289"/>
      <c r="B867" s="2289"/>
      <c r="C867" s="2289"/>
      <c r="D867" s="2289"/>
      <c r="E867" s="2289"/>
      <c r="F867" s="2289"/>
      <c r="G867" s="2290"/>
      <c r="H867" s="2289"/>
      <c r="I867" s="2289"/>
      <c r="J867" s="2290"/>
      <c r="K867" s="2289"/>
      <c r="L867" s="2289"/>
      <c r="M867" s="2290"/>
      <c r="N867" s="2290"/>
      <c r="O867" s="2290"/>
      <c r="P867" s="2290"/>
      <c r="Q867" s="2289"/>
      <c r="R867" s="2289"/>
      <c r="S867" s="2289"/>
      <c r="T867" s="2291"/>
      <c r="U867" s="2289"/>
      <c r="V867" s="2289"/>
      <c r="W867" s="2289"/>
      <c r="X867" s="2292"/>
      <c r="Y867" s="2292"/>
      <c r="Z867" s="2289"/>
      <c r="AA867" s="2289"/>
      <c r="AB867" s="2289"/>
      <c r="AC867" s="2289"/>
      <c r="AD867" s="2293"/>
      <c r="AE867" s="2293"/>
      <c r="AF867" s="2293"/>
      <c r="AG867" s="2293"/>
      <c r="AH867" s="2289"/>
      <c r="AI867" s="2289"/>
      <c r="AJ867" s="2294"/>
      <c r="AK867" s="2294"/>
      <c r="AL867" s="2289"/>
      <c r="AM867" s="2289"/>
      <c r="AN867" s="2289"/>
      <c r="AO867" s="2289"/>
      <c r="AP867" s="2289"/>
      <c r="AQ867" s="2289"/>
      <c r="AR867" s="2294"/>
      <c r="AS867" s="2294"/>
      <c r="AT867" s="2295"/>
      <c r="AU867" s="2295"/>
      <c r="AV867" s="2295"/>
      <c r="AW867" s="2295"/>
      <c r="AX867" s="2296"/>
      <c r="AY867" s="2289"/>
      <c r="AZ867" s="2289"/>
      <c r="BA867" s="2289"/>
      <c r="BB867" s="2289"/>
      <c r="BC867" s="2289"/>
      <c r="BD867" s="2289"/>
      <c r="BE867" s="2289"/>
      <c r="BF867" s="2289"/>
      <c r="BG867" s="2289"/>
      <c r="BH867" s="2289"/>
      <c r="BI867" s="2289"/>
      <c r="BJ867" s="2289"/>
      <c r="BK867" s="2289"/>
      <c r="BL867" s="2289"/>
      <c r="BM867" s="2289"/>
      <c r="BN867" s="2289"/>
      <c r="BO867" s="2289"/>
      <c r="BP867" s="2289"/>
      <c r="BQ867" s="2289"/>
      <c r="BR867" s="2289"/>
    </row>
    <row r="868" spans="1:70" ht="15.75" customHeight="1">
      <c r="A868" s="2289"/>
      <c r="B868" s="2289"/>
      <c r="C868" s="2289"/>
      <c r="D868" s="2289"/>
      <c r="E868" s="2289"/>
      <c r="F868" s="2289"/>
      <c r="G868" s="2290"/>
      <c r="H868" s="2289"/>
      <c r="I868" s="2289"/>
      <c r="J868" s="2290"/>
      <c r="K868" s="2289"/>
      <c r="L868" s="2289"/>
      <c r="M868" s="2290"/>
      <c r="N868" s="2290"/>
      <c r="O868" s="2290"/>
      <c r="P868" s="2290"/>
      <c r="Q868" s="2289"/>
      <c r="R868" s="2289"/>
      <c r="S868" s="2289"/>
      <c r="T868" s="2291"/>
      <c r="U868" s="2289"/>
      <c r="V868" s="2289"/>
      <c r="W868" s="2289"/>
      <c r="X868" s="2292"/>
      <c r="Y868" s="2292"/>
      <c r="Z868" s="2289"/>
      <c r="AA868" s="2289"/>
      <c r="AB868" s="2289"/>
      <c r="AC868" s="2289"/>
      <c r="AD868" s="2293"/>
      <c r="AE868" s="2293"/>
      <c r="AF868" s="2293"/>
      <c r="AG868" s="2293"/>
      <c r="AH868" s="2289"/>
      <c r="AI868" s="2289"/>
      <c r="AJ868" s="2294"/>
      <c r="AK868" s="2294"/>
      <c r="AL868" s="2289"/>
      <c r="AM868" s="2289"/>
      <c r="AN868" s="2289"/>
      <c r="AO868" s="2289"/>
      <c r="AP868" s="2289"/>
      <c r="AQ868" s="2289"/>
      <c r="AR868" s="2294"/>
      <c r="AS868" s="2294"/>
      <c r="AT868" s="2295"/>
      <c r="AU868" s="2295"/>
      <c r="AV868" s="2295"/>
      <c r="AW868" s="2295"/>
      <c r="AX868" s="2296"/>
      <c r="AY868" s="2289"/>
      <c r="AZ868" s="2289"/>
      <c r="BA868" s="2289"/>
      <c r="BB868" s="2289"/>
      <c r="BC868" s="2289"/>
      <c r="BD868" s="2289"/>
      <c r="BE868" s="2289"/>
      <c r="BF868" s="2289"/>
      <c r="BG868" s="2289"/>
      <c r="BH868" s="2289"/>
      <c r="BI868" s="2289"/>
      <c r="BJ868" s="2289"/>
      <c r="BK868" s="2289"/>
      <c r="BL868" s="2289"/>
      <c r="BM868" s="2289"/>
      <c r="BN868" s="2289"/>
      <c r="BO868" s="2289"/>
      <c r="BP868" s="2289"/>
      <c r="BQ868" s="2289"/>
      <c r="BR868" s="2289"/>
    </row>
    <row r="869" spans="1:70" ht="15.75" customHeight="1">
      <c r="A869" s="2289"/>
      <c r="B869" s="2289"/>
      <c r="C869" s="2289"/>
      <c r="D869" s="2289"/>
      <c r="E869" s="2289"/>
      <c r="F869" s="2289"/>
      <c r="G869" s="2290"/>
      <c r="H869" s="2289"/>
      <c r="I869" s="2289"/>
      <c r="J869" s="2290"/>
      <c r="K869" s="2289"/>
      <c r="L869" s="2289"/>
      <c r="M869" s="2290"/>
      <c r="N869" s="2290"/>
      <c r="O869" s="2290"/>
      <c r="P869" s="2290"/>
      <c r="Q869" s="2289"/>
      <c r="R869" s="2289"/>
      <c r="S869" s="2289"/>
      <c r="T869" s="2291"/>
      <c r="U869" s="2289"/>
      <c r="V869" s="2289"/>
      <c r="W869" s="2289"/>
      <c r="X869" s="2292"/>
      <c r="Y869" s="2292"/>
      <c r="Z869" s="2289"/>
      <c r="AA869" s="2289"/>
      <c r="AB869" s="2289"/>
      <c r="AC869" s="2289"/>
      <c r="AD869" s="2293"/>
      <c r="AE869" s="2293"/>
      <c r="AF869" s="2293"/>
      <c r="AG869" s="2293"/>
      <c r="AH869" s="2289"/>
      <c r="AI869" s="2289"/>
      <c r="AJ869" s="2294"/>
      <c r="AK869" s="2294"/>
      <c r="AL869" s="2289"/>
      <c r="AM869" s="2289"/>
      <c r="AN869" s="2289"/>
      <c r="AO869" s="2289"/>
      <c r="AP869" s="2289"/>
      <c r="AQ869" s="2289"/>
      <c r="AR869" s="2294"/>
      <c r="AS869" s="2294"/>
      <c r="AT869" s="2295"/>
      <c r="AU869" s="2295"/>
      <c r="AV869" s="2295"/>
      <c r="AW869" s="2295"/>
      <c r="AX869" s="2296"/>
      <c r="AY869" s="2289"/>
      <c r="AZ869" s="2289"/>
      <c r="BA869" s="2289"/>
      <c r="BB869" s="2289"/>
      <c r="BC869" s="2289"/>
      <c r="BD869" s="2289"/>
      <c r="BE869" s="2289"/>
      <c r="BF869" s="2289"/>
      <c r="BG869" s="2289"/>
      <c r="BH869" s="2289"/>
      <c r="BI869" s="2289"/>
      <c r="BJ869" s="2289"/>
      <c r="BK869" s="2289"/>
      <c r="BL869" s="2289"/>
      <c r="BM869" s="2289"/>
      <c r="BN869" s="2289"/>
      <c r="BO869" s="2289"/>
      <c r="BP869" s="2289"/>
      <c r="BQ869" s="2289"/>
      <c r="BR869" s="2289"/>
    </row>
    <row r="870" spans="1:70" ht="15.75" customHeight="1">
      <c r="A870" s="2289"/>
      <c r="B870" s="2289"/>
      <c r="C870" s="2289"/>
      <c r="D870" s="2289"/>
      <c r="E870" s="2289"/>
      <c r="F870" s="2289"/>
      <c r="G870" s="2290"/>
      <c r="H870" s="2289"/>
      <c r="I870" s="2289"/>
      <c r="J870" s="2290"/>
      <c r="K870" s="2289"/>
      <c r="L870" s="2289"/>
      <c r="M870" s="2290"/>
      <c r="N870" s="2290"/>
      <c r="O870" s="2290"/>
      <c r="P870" s="2290"/>
      <c r="Q870" s="2289"/>
      <c r="R870" s="2289"/>
      <c r="S870" s="2289"/>
      <c r="T870" s="2291"/>
      <c r="U870" s="2289"/>
      <c r="V870" s="2289"/>
      <c r="W870" s="2289"/>
      <c r="X870" s="2292"/>
      <c r="Y870" s="2292"/>
      <c r="Z870" s="2289"/>
      <c r="AA870" s="2289"/>
      <c r="AB870" s="2289"/>
      <c r="AC870" s="2289"/>
      <c r="AD870" s="2293"/>
      <c r="AE870" s="2293"/>
      <c r="AF870" s="2293"/>
      <c r="AG870" s="2293"/>
      <c r="AH870" s="2289"/>
      <c r="AI870" s="2289"/>
      <c r="AJ870" s="2294"/>
      <c r="AK870" s="2294"/>
      <c r="AL870" s="2289"/>
      <c r="AM870" s="2289"/>
      <c r="AN870" s="2289"/>
      <c r="AO870" s="2289"/>
      <c r="AP870" s="2289"/>
      <c r="AQ870" s="2289"/>
      <c r="AR870" s="2294"/>
      <c r="AS870" s="2294"/>
      <c r="AT870" s="2295"/>
      <c r="AU870" s="2295"/>
      <c r="AV870" s="2295"/>
      <c r="AW870" s="2295"/>
      <c r="AX870" s="2296"/>
      <c r="AY870" s="2289"/>
      <c r="AZ870" s="2289"/>
      <c r="BA870" s="2289"/>
      <c r="BB870" s="2289"/>
      <c r="BC870" s="2289"/>
      <c r="BD870" s="2289"/>
      <c r="BE870" s="2289"/>
      <c r="BF870" s="2289"/>
      <c r="BG870" s="2289"/>
      <c r="BH870" s="2289"/>
      <c r="BI870" s="2289"/>
      <c r="BJ870" s="2289"/>
      <c r="BK870" s="2289"/>
      <c r="BL870" s="2289"/>
      <c r="BM870" s="2289"/>
      <c r="BN870" s="2289"/>
      <c r="BO870" s="2289"/>
      <c r="BP870" s="2289"/>
      <c r="BQ870" s="2289"/>
      <c r="BR870" s="2289"/>
    </row>
    <row r="871" spans="1:70" ht="15.75" customHeight="1">
      <c r="A871" s="2289"/>
      <c r="B871" s="2289"/>
      <c r="C871" s="2289"/>
      <c r="D871" s="2289"/>
      <c r="E871" s="2289"/>
      <c r="F871" s="2289"/>
      <c r="G871" s="2290"/>
      <c r="H871" s="2289"/>
      <c r="I871" s="2289"/>
      <c r="J871" s="2290"/>
      <c r="K871" s="2289"/>
      <c r="L871" s="2289"/>
      <c r="M871" s="2290"/>
      <c r="N871" s="2290"/>
      <c r="O871" s="2290"/>
      <c r="P871" s="2290"/>
      <c r="Q871" s="2289"/>
      <c r="R871" s="2289"/>
      <c r="S871" s="2289"/>
      <c r="T871" s="2291"/>
      <c r="U871" s="2289"/>
      <c r="V871" s="2289"/>
      <c r="W871" s="2289"/>
      <c r="X871" s="2292"/>
      <c r="Y871" s="2292"/>
      <c r="Z871" s="2289"/>
      <c r="AA871" s="2289"/>
      <c r="AB871" s="2289"/>
      <c r="AC871" s="2289"/>
      <c r="AD871" s="2293"/>
      <c r="AE871" s="2293"/>
      <c r="AF871" s="2293"/>
      <c r="AG871" s="2293"/>
      <c r="AH871" s="2289"/>
      <c r="AI871" s="2289"/>
      <c r="AJ871" s="2294"/>
      <c r="AK871" s="2294"/>
      <c r="AL871" s="2289"/>
      <c r="AM871" s="2289"/>
      <c r="AN871" s="2289"/>
      <c r="AO871" s="2289"/>
      <c r="AP871" s="2289"/>
      <c r="AQ871" s="2289"/>
      <c r="AR871" s="2294"/>
      <c r="AS871" s="2294"/>
      <c r="AT871" s="2295"/>
      <c r="AU871" s="2295"/>
      <c r="AV871" s="2295"/>
      <c r="AW871" s="2295"/>
      <c r="AX871" s="2296"/>
      <c r="AY871" s="2289"/>
      <c r="AZ871" s="2289"/>
      <c r="BA871" s="2289"/>
      <c r="BB871" s="2289"/>
      <c r="BC871" s="2289"/>
      <c r="BD871" s="2289"/>
      <c r="BE871" s="2289"/>
      <c r="BF871" s="2289"/>
      <c r="BG871" s="2289"/>
      <c r="BH871" s="2289"/>
      <c r="BI871" s="2289"/>
      <c r="BJ871" s="2289"/>
      <c r="BK871" s="2289"/>
      <c r="BL871" s="2289"/>
      <c r="BM871" s="2289"/>
      <c r="BN871" s="2289"/>
      <c r="BO871" s="2289"/>
      <c r="BP871" s="2289"/>
      <c r="BQ871" s="2289"/>
      <c r="BR871" s="2289"/>
    </row>
    <row r="872" spans="1:70" ht="15.75" customHeight="1">
      <c r="A872" s="2289"/>
      <c r="B872" s="2289"/>
      <c r="C872" s="2289"/>
      <c r="D872" s="2289"/>
      <c r="E872" s="2289"/>
      <c r="F872" s="2289"/>
      <c r="G872" s="2290"/>
      <c r="H872" s="2289"/>
      <c r="I872" s="2289"/>
      <c r="J872" s="2290"/>
      <c r="K872" s="2289"/>
      <c r="L872" s="2289"/>
      <c r="M872" s="2290"/>
      <c r="N872" s="2290"/>
      <c r="O872" s="2290"/>
      <c r="P872" s="2290"/>
      <c r="Q872" s="2289"/>
      <c r="R872" s="2289"/>
      <c r="S872" s="2289"/>
      <c r="T872" s="2291"/>
      <c r="U872" s="2289"/>
      <c r="V872" s="2289"/>
      <c r="W872" s="2289"/>
      <c r="X872" s="2292"/>
      <c r="Y872" s="2292"/>
      <c r="Z872" s="2289"/>
      <c r="AA872" s="2289"/>
      <c r="AB872" s="2289"/>
      <c r="AC872" s="2289"/>
      <c r="AD872" s="2293"/>
      <c r="AE872" s="2293"/>
      <c r="AF872" s="2293"/>
      <c r="AG872" s="2293"/>
      <c r="AH872" s="2289"/>
      <c r="AI872" s="2289"/>
      <c r="AJ872" s="2294"/>
      <c r="AK872" s="2294"/>
      <c r="AL872" s="2289"/>
      <c r="AM872" s="2289"/>
      <c r="AN872" s="2289"/>
      <c r="AO872" s="2289"/>
      <c r="AP872" s="2289"/>
      <c r="AQ872" s="2289"/>
      <c r="AR872" s="2294"/>
      <c r="AS872" s="2294"/>
      <c r="AT872" s="2295"/>
      <c r="AU872" s="2295"/>
      <c r="AV872" s="2295"/>
      <c r="AW872" s="2295"/>
      <c r="AX872" s="2296"/>
      <c r="AY872" s="2289"/>
      <c r="AZ872" s="2289"/>
      <c r="BA872" s="2289"/>
      <c r="BB872" s="2289"/>
      <c r="BC872" s="2289"/>
      <c r="BD872" s="2289"/>
      <c r="BE872" s="2289"/>
      <c r="BF872" s="2289"/>
      <c r="BG872" s="2289"/>
      <c r="BH872" s="2289"/>
      <c r="BI872" s="2289"/>
      <c r="BJ872" s="2289"/>
      <c r="BK872" s="2289"/>
      <c r="BL872" s="2289"/>
      <c r="BM872" s="2289"/>
      <c r="BN872" s="2289"/>
      <c r="BO872" s="2289"/>
      <c r="BP872" s="2289"/>
      <c r="BQ872" s="2289"/>
      <c r="BR872" s="2289"/>
    </row>
    <row r="873" spans="1:70" ht="15.75" customHeight="1">
      <c r="A873" s="2289"/>
      <c r="B873" s="2289"/>
      <c r="C873" s="2289"/>
      <c r="D873" s="2289"/>
      <c r="E873" s="2289"/>
      <c r="F873" s="2289"/>
      <c r="G873" s="2290"/>
      <c r="H873" s="2289"/>
      <c r="I873" s="2289"/>
      <c r="J873" s="2290"/>
      <c r="K873" s="2289"/>
      <c r="L873" s="2289"/>
      <c r="M873" s="2290"/>
      <c r="N873" s="2290"/>
      <c r="O873" s="2290"/>
      <c r="P873" s="2290"/>
      <c r="Q873" s="2289"/>
      <c r="R873" s="2289"/>
      <c r="S873" s="2289"/>
      <c r="T873" s="2291"/>
      <c r="U873" s="2289"/>
      <c r="V873" s="2289"/>
      <c r="W873" s="2289"/>
      <c r="X873" s="2292"/>
      <c r="Y873" s="2292"/>
      <c r="Z873" s="2289"/>
      <c r="AA873" s="2289"/>
      <c r="AB873" s="2289"/>
      <c r="AC873" s="2289"/>
      <c r="AD873" s="2293"/>
      <c r="AE873" s="2293"/>
      <c r="AF873" s="2293"/>
      <c r="AG873" s="2293"/>
      <c r="AH873" s="2289"/>
      <c r="AI873" s="2289"/>
      <c r="AJ873" s="2294"/>
      <c r="AK873" s="2294"/>
      <c r="AL873" s="2289"/>
      <c r="AM873" s="2289"/>
      <c r="AN873" s="2289"/>
      <c r="AO873" s="2289"/>
      <c r="AP873" s="2289"/>
      <c r="AQ873" s="2289"/>
      <c r="AR873" s="2294"/>
      <c r="AS873" s="2294"/>
      <c r="AT873" s="2295"/>
      <c r="AU873" s="2295"/>
      <c r="AV873" s="2295"/>
      <c r="AW873" s="2295"/>
      <c r="AX873" s="2296"/>
      <c r="AY873" s="2289"/>
      <c r="AZ873" s="2289"/>
      <c r="BA873" s="2289"/>
      <c r="BB873" s="2289"/>
      <c r="BC873" s="2289"/>
      <c r="BD873" s="2289"/>
      <c r="BE873" s="2289"/>
      <c r="BF873" s="2289"/>
      <c r="BG873" s="2289"/>
      <c r="BH873" s="2289"/>
      <c r="BI873" s="2289"/>
      <c r="BJ873" s="2289"/>
      <c r="BK873" s="2289"/>
      <c r="BL873" s="2289"/>
      <c r="BM873" s="2289"/>
      <c r="BN873" s="2289"/>
      <c r="BO873" s="2289"/>
      <c r="BP873" s="2289"/>
      <c r="BQ873" s="2289"/>
      <c r="BR873" s="2289"/>
    </row>
    <row r="874" spans="1:70" ht="15.75" customHeight="1">
      <c r="A874" s="2289"/>
      <c r="B874" s="2289"/>
      <c r="C874" s="2289"/>
      <c r="D874" s="2289"/>
      <c r="E874" s="2289"/>
      <c r="F874" s="2289"/>
      <c r="G874" s="2290"/>
      <c r="H874" s="2289"/>
      <c r="I874" s="2289"/>
      <c r="J874" s="2290"/>
      <c r="K874" s="2289"/>
      <c r="L874" s="2289"/>
      <c r="M874" s="2290"/>
      <c r="N874" s="2290"/>
      <c r="O874" s="2290"/>
      <c r="P874" s="2290"/>
      <c r="Q874" s="2289"/>
      <c r="R874" s="2289"/>
      <c r="S874" s="2289"/>
      <c r="T874" s="2291"/>
      <c r="U874" s="2289"/>
      <c r="V874" s="2289"/>
      <c r="W874" s="2289"/>
      <c r="X874" s="2292"/>
      <c r="Y874" s="2292"/>
      <c r="Z874" s="2289"/>
      <c r="AA874" s="2289"/>
      <c r="AB874" s="2289"/>
      <c r="AC874" s="2289"/>
      <c r="AD874" s="2293"/>
      <c r="AE874" s="2293"/>
      <c r="AF874" s="2293"/>
      <c r="AG874" s="2293"/>
      <c r="AH874" s="2289"/>
      <c r="AI874" s="2289"/>
      <c r="AJ874" s="2294"/>
      <c r="AK874" s="2294"/>
      <c r="AL874" s="2289"/>
      <c r="AM874" s="2289"/>
      <c r="AN874" s="2289"/>
      <c r="AO874" s="2289"/>
      <c r="AP874" s="2289"/>
      <c r="AQ874" s="2289"/>
      <c r="AR874" s="2294"/>
      <c r="AS874" s="2294"/>
      <c r="AT874" s="2295"/>
      <c r="AU874" s="2295"/>
      <c r="AV874" s="2295"/>
      <c r="AW874" s="2295"/>
      <c r="AX874" s="2296"/>
      <c r="AY874" s="2289"/>
      <c r="AZ874" s="2289"/>
      <c r="BA874" s="2289"/>
      <c r="BB874" s="2289"/>
      <c r="BC874" s="2289"/>
      <c r="BD874" s="2289"/>
      <c r="BE874" s="2289"/>
      <c r="BF874" s="2289"/>
      <c r="BG874" s="2289"/>
      <c r="BH874" s="2289"/>
      <c r="BI874" s="2289"/>
      <c r="BJ874" s="2289"/>
      <c r="BK874" s="2289"/>
      <c r="BL874" s="2289"/>
      <c r="BM874" s="2289"/>
      <c r="BN874" s="2289"/>
      <c r="BO874" s="2289"/>
      <c r="BP874" s="2289"/>
      <c r="BQ874" s="2289"/>
      <c r="BR874" s="2289"/>
    </row>
    <row r="875" spans="1:70" ht="15.75" customHeight="1">
      <c r="A875" s="2289"/>
      <c r="B875" s="2289"/>
      <c r="C875" s="2289"/>
      <c r="D875" s="2289"/>
      <c r="E875" s="2289"/>
      <c r="F875" s="2289"/>
      <c r="G875" s="2290"/>
      <c r="H875" s="2289"/>
      <c r="I875" s="2289"/>
      <c r="J875" s="2290"/>
      <c r="K875" s="2289"/>
      <c r="L875" s="2289"/>
      <c r="M875" s="2290"/>
      <c r="N875" s="2290"/>
      <c r="O875" s="2290"/>
      <c r="P875" s="2290"/>
      <c r="Q875" s="2289"/>
      <c r="R875" s="2289"/>
      <c r="S875" s="2289"/>
      <c r="T875" s="2291"/>
      <c r="U875" s="2289"/>
      <c r="V875" s="2289"/>
      <c r="W875" s="2289"/>
      <c r="X875" s="2292"/>
      <c r="Y875" s="2292"/>
      <c r="Z875" s="2289"/>
      <c r="AA875" s="2289"/>
      <c r="AB875" s="2289"/>
      <c r="AC875" s="2289"/>
      <c r="AD875" s="2293"/>
      <c r="AE875" s="2293"/>
      <c r="AF875" s="2293"/>
      <c r="AG875" s="2293"/>
      <c r="AH875" s="2289"/>
      <c r="AI875" s="2289"/>
      <c r="AJ875" s="2294"/>
      <c r="AK875" s="2294"/>
      <c r="AL875" s="2289"/>
      <c r="AM875" s="2289"/>
      <c r="AN875" s="2289"/>
      <c r="AO875" s="2289"/>
      <c r="AP875" s="2289"/>
      <c r="AQ875" s="2289"/>
      <c r="AR875" s="2294"/>
      <c r="AS875" s="2294"/>
      <c r="AT875" s="2295"/>
      <c r="AU875" s="2295"/>
      <c r="AV875" s="2295"/>
      <c r="AW875" s="2295"/>
      <c r="AX875" s="2296"/>
      <c r="AY875" s="2289"/>
      <c r="AZ875" s="2289"/>
      <c r="BA875" s="2289"/>
      <c r="BB875" s="2289"/>
      <c r="BC875" s="2289"/>
      <c r="BD875" s="2289"/>
      <c r="BE875" s="2289"/>
      <c r="BF875" s="2289"/>
      <c r="BG875" s="2289"/>
      <c r="BH875" s="2289"/>
      <c r="BI875" s="2289"/>
      <c r="BJ875" s="2289"/>
      <c r="BK875" s="2289"/>
      <c r="BL875" s="2289"/>
      <c r="BM875" s="2289"/>
      <c r="BN875" s="2289"/>
      <c r="BO875" s="2289"/>
      <c r="BP875" s="2289"/>
      <c r="BQ875" s="2289"/>
      <c r="BR875" s="2289"/>
    </row>
    <row r="876" spans="1:70" ht="15.75" customHeight="1">
      <c r="A876" s="2289"/>
      <c r="B876" s="2289"/>
      <c r="C876" s="2289"/>
      <c r="D876" s="2289"/>
      <c r="E876" s="2289"/>
      <c r="F876" s="2289"/>
      <c r="G876" s="2290"/>
      <c r="H876" s="2289"/>
      <c r="I876" s="2289"/>
      <c r="J876" s="2290"/>
      <c r="K876" s="2289"/>
      <c r="L876" s="2289"/>
      <c r="M876" s="2290"/>
      <c r="N876" s="2290"/>
      <c r="O876" s="2290"/>
      <c r="P876" s="2290"/>
      <c r="Q876" s="2289"/>
      <c r="R876" s="2289"/>
      <c r="S876" s="2289"/>
      <c r="T876" s="2291"/>
      <c r="U876" s="2289"/>
      <c r="V876" s="2289"/>
      <c r="W876" s="2289"/>
      <c r="X876" s="2292"/>
      <c r="Y876" s="2292"/>
      <c r="Z876" s="2289"/>
      <c r="AA876" s="2289"/>
      <c r="AB876" s="2289"/>
      <c r="AC876" s="2289"/>
      <c r="AD876" s="2293"/>
      <c r="AE876" s="2293"/>
      <c r="AF876" s="2293"/>
      <c r="AG876" s="2293"/>
      <c r="AH876" s="2289"/>
      <c r="AI876" s="2289"/>
      <c r="AJ876" s="2294"/>
      <c r="AK876" s="2294"/>
      <c r="AL876" s="2289"/>
      <c r="AM876" s="2289"/>
      <c r="AN876" s="2289"/>
      <c r="AO876" s="2289"/>
      <c r="AP876" s="2289"/>
      <c r="AQ876" s="2289"/>
      <c r="AR876" s="2294"/>
      <c r="AS876" s="2294"/>
      <c r="AT876" s="2295"/>
      <c r="AU876" s="2295"/>
      <c r="AV876" s="2295"/>
      <c r="AW876" s="2295"/>
      <c r="AX876" s="2296"/>
      <c r="AY876" s="2289"/>
      <c r="AZ876" s="2289"/>
      <c r="BA876" s="2289"/>
      <c r="BB876" s="2289"/>
      <c r="BC876" s="2289"/>
      <c r="BD876" s="2289"/>
      <c r="BE876" s="2289"/>
      <c r="BF876" s="2289"/>
      <c r="BG876" s="2289"/>
      <c r="BH876" s="2289"/>
      <c r="BI876" s="2289"/>
      <c r="BJ876" s="2289"/>
      <c r="BK876" s="2289"/>
      <c r="BL876" s="2289"/>
      <c r="BM876" s="2289"/>
      <c r="BN876" s="2289"/>
      <c r="BO876" s="2289"/>
      <c r="BP876" s="2289"/>
      <c r="BQ876" s="2289"/>
      <c r="BR876" s="2289"/>
    </row>
    <row r="877" spans="1:70" ht="15.75" customHeight="1">
      <c r="A877" s="2289"/>
      <c r="B877" s="2289"/>
      <c r="C877" s="2289"/>
      <c r="D877" s="2289"/>
      <c r="E877" s="2289"/>
      <c r="F877" s="2289"/>
      <c r="G877" s="2290"/>
      <c r="H877" s="2289"/>
      <c r="I877" s="2289"/>
      <c r="J877" s="2290"/>
      <c r="K877" s="2289"/>
      <c r="L877" s="2289"/>
      <c r="M877" s="2290"/>
      <c r="N877" s="2290"/>
      <c r="O877" s="2290"/>
      <c r="P877" s="2290"/>
      <c r="Q877" s="2289"/>
      <c r="R877" s="2289"/>
      <c r="S877" s="2289"/>
      <c r="T877" s="2291"/>
      <c r="U877" s="2289"/>
      <c r="V877" s="2289"/>
      <c r="W877" s="2289"/>
      <c r="X877" s="2292"/>
      <c r="Y877" s="2292"/>
      <c r="Z877" s="2289"/>
      <c r="AA877" s="2289"/>
      <c r="AB877" s="2289"/>
      <c r="AC877" s="2289"/>
      <c r="AD877" s="2293"/>
      <c r="AE877" s="2293"/>
      <c r="AF877" s="2293"/>
      <c r="AG877" s="2293"/>
      <c r="AH877" s="2289"/>
      <c r="AI877" s="2289"/>
      <c r="AJ877" s="2294"/>
      <c r="AK877" s="2294"/>
      <c r="AL877" s="2289"/>
      <c r="AM877" s="2289"/>
      <c r="AN877" s="2289"/>
      <c r="AO877" s="2289"/>
      <c r="AP877" s="2289"/>
      <c r="AQ877" s="2289"/>
      <c r="AR877" s="2294"/>
      <c r="AS877" s="2294"/>
      <c r="AT877" s="2295"/>
      <c r="AU877" s="2295"/>
      <c r="AV877" s="2295"/>
      <c r="AW877" s="2295"/>
      <c r="AX877" s="2296"/>
      <c r="AY877" s="2289"/>
      <c r="AZ877" s="2289"/>
      <c r="BA877" s="2289"/>
      <c r="BB877" s="2289"/>
      <c r="BC877" s="2289"/>
      <c r="BD877" s="2289"/>
      <c r="BE877" s="2289"/>
      <c r="BF877" s="2289"/>
      <c r="BG877" s="2289"/>
      <c r="BH877" s="2289"/>
      <c r="BI877" s="2289"/>
      <c r="BJ877" s="2289"/>
      <c r="BK877" s="2289"/>
      <c r="BL877" s="2289"/>
      <c r="BM877" s="2289"/>
      <c r="BN877" s="2289"/>
      <c r="BO877" s="2289"/>
      <c r="BP877" s="2289"/>
      <c r="BQ877" s="2289"/>
      <c r="BR877" s="2289"/>
    </row>
    <row r="878" spans="1:70" ht="15.75" customHeight="1">
      <c r="A878" s="2289"/>
      <c r="B878" s="2289"/>
      <c r="C878" s="2289"/>
      <c r="D878" s="2289"/>
      <c r="E878" s="2289"/>
      <c r="F878" s="2289"/>
      <c r="G878" s="2290"/>
      <c r="H878" s="2289"/>
      <c r="I878" s="2289"/>
      <c r="J878" s="2290"/>
      <c r="K878" s="2289"/>
      <c r="L878" s="2289"/>
      <c r="M878" s="2290"/>
      <c r="N878" s="2290"/>
      <c r="O878" s="2290"/>
      <c r="P878" s="2290"/>
      <c r="Q878" s="2289"/>
      <c r="R878" s="2289"/>
      <c r="S878" s="2289"/>
      <c r="T878" s="2291"/>
      <c r="U878" s="2289"/>
      <c r="V878" s="2289"/>
      <c r="W878" s="2289"/>
      <c r="X878" s="2292"/>
      <c r="Y878" s="2292"/>
      <c r="Z878" s="2289"/>
      <c r="AA878" s="2289"/>
      <c r="AB878" s="2289"/>
      <c r="AC878" s="2289"/>
      <c r="AD878" s="2293"/>
      <c r="AE878" s="2293"/>
      <c r="AF878" s="2293"/>
      <c r="AG878" s="2293"/>
      <c r="AH878" s="2289"/>
      <c r="AI878" s="2289"/>
      <c r="AJ878" s="2294"/>
      <c r="AK878" s="2294"/>
      <c r="AL878" s="2289"/>
      <c r="AM878" s="2289"/>
      <c r="AN878" s="2289"/>
      <c r="AO878" s="2289"/>
      <c r="AP878" s="2289"/>
      <c r="AQ878" s="2289"/>
      <c r="AR878" s="2294"/>
      <c r="AS878" s="2294"/>
      <c r="AT878" s="2295"/>
      <c r="AU878" s="2295"/>
      <c r="AV878" s="2295"/>
      <c r="AW878" s="2295"/>
      <c r="AX878" s="2296"/>
      <c r="AY878" s="2289"/>
      <c r="AZ878" s="2289"/>
      <c r="BA878" s="2289"/>
      <c r="BB878" s="2289"/>
      <c r="BC878" s="2289"/>
      <c r="BD878" s="2289"/>
      <c r="BE878" s="2289"/>
      <c r="BF878" s="2289"/>
      <c r="BG878" s="2289"/>
      <c r="BH878" s="2289"/>
      <c r="BI878" s="2289"/>
      <c r="BJ878" s="2289"/>
      <c r="BK878" s="2289"/>
      <c r="BL878" s="2289"/>
      <c r="BM878" s="2289"/>
      <c r="BN878" s="2289"/>
      <c r="BO878" s="2289"/>
      <c r="BP878" s="2289"/>
      <c r="BQ878" s="2289"/>
      <c r="BR878" s="2289"/>
    </row>
    <row r="879" spans="1:70" ht="15.75" customHeight="1">
      <c r="A879" s="2289"/>
      <c r="B879" s="2289"/>
      <c r="C879" s="2289"/>
      <c r="D879" s="2289"/>
      <c r="E879" s="2289"/>
      <c r="F879" s="2289"/>
      <c r="G879" s="2290"/>
      <c r="H879" s="2289"/>
      <c r="I879" s="2289"/>
      <c r="J879" s="2290"/>
      <c r="K879" s="2289"/>
      <c r="L879" s="2289"/>
      <c r="M879" s="2290"/>
      <c r="N879" s="2290"/>
      <c r="O879" s="2290"/>
      <c r="P879" s="2290"/>
      <c r="Q879" s="2289"/>
      <c r="R879" s="2289"/>
      <c r="S879" s="2289"/>
      <c r="T879" s="2291"/>
      <c r="U879" s="2289"/>
      <c r="V879" s="2289"/>
      <c r="W879" s="2289"/>
      <c r="X879" s="2292"/>
      <c r="Y879" s="2292"/>
      <c r="Z879" s="2289"/>
      <c r="AA879" s="2289"/>
      <c r="AB879" s="2289"/>
      <c r="AC879" s="2289"/>
      <c r="AD879" s="2293"/>
      <c r="AE879" s="2293"/>
      <c r="AF879" s="2293"/>
      <c r="AG879" s="2293"/>
      <c r="AH879" s="2289"/>
      <c r="AI879" s="2289"/>
      <c r="AJ879" s="2294"/>
      <c r="AK879" s="2294"/>
      <c r="AL879" s="2289"/>
      <c r="AM879" s="2289"/>
      <c r="AN879" s="2289"/>
      <c r="AO879" s="2289"/>
      <c r="AP879" s="2289"/>
      <c r="AQ879" s="2289"/>
      <c r="AR879" s="2294"/>
      <c r="AS879" s="2294"/>
      <c r="AT879" s="2295"/>
      <c r="AU879" s="2295"/>
      <c r="AV879" s="2295"/>
      <c r="AW879" s="2295"/>
      <c r="AX879" s="2296"/>
      <c r="AY879" s="2289"/>
      <c r="AZ879" s="2289"/>
      <c r="BA879" s="2289"/>
      <c r="BB879" s="2289"/>
      <c r="BC879" s="2289"/>
      <c r="BD879" s="2289"/>
      <c r="BE879" s="2289"/>
      <c r="BF879" s="2289"/>
      <c r="BG879" s="2289"/>
      <c r="BH879" s="2289"/>
      <c r="BI879" s="2289"/>
      <c r="BJ879" s="2289"/>
      <c r="BK879" s="2289"/>
      <c r="BL879" s="2289"/>
      <c r="BM879" s="2289"/>
      <c r="BN879" s="2289"/>
      <c r="BO879" s="2289"/>
      <c r="BP879" s="2289"/>
      <c r="BQ879" s="2289"/>
      <c r="BR879" s="2289"/>
    </row>
    <row r="880" spans="1:70" ht="15.75" customHeight="1">
      <c r="A880" s="2289"/>
      <c r="B880" s="2289"/>
      <c r="C880" s="2289"/>
      <c r="D880" s="2289"/>
      <c r="E880" s="2289"/>
      <c r="F880" s="2289"/>
      <c r="G880" s="2290"/>
      <c r="H880" s="2289"/>
      <c r="I880" s="2289"/>
      <c r="J880" s="2290"/>
      <c r="K880" s="2289"/>
      <c r="L880" s="2289"/>
      <c r="M880" s="2290"/>
      <c r="N880" s="2290"/>
      <c r="O880" s="2290"/>
      <c r="P880" s="2290"/>
      <c r="Q880" s="2289"/>
      <c r="R880" s="2289"/>
      <c r="S880" s="2289"/>
      <c r="T880" s="2291"/>
      <c r="U880" s="2289"/>
      <c r="V880" s="2289"/>
      <c r="W880" s="2289"/>
      <c r="X880" s="2292"/>
      <c r="Y880" s="2292"/>
      <c r="Z880" s="2289"/>
      <c r="AA880" s="2289"/>
      <c r="AB880" s="2289"/>
      <c r="AC880" s="2289"/>
      <c r="AD880" s="2293"/>
      <c r="AE880" s="2293"/>
      <c r="AF880" s="2293"/>
      <c r="AG880" s="2293"/>
      <c r="AH880" s="2289"/>
      <c r="AI880" s="2289"/>
      <c r="AJ880" s="2294"/>
      <c r="AK880" s="2294"/>
      <c r="AL880" s="2289"/>
      <c r="AM880" s="2289"/>
      <c r="AN880" s="2289"/>
      <c r="AO880" s="2289"/>
      <c r="AP880" s="2289"/>
      <c r="AQ880" s="2289"/>
      <c r="AR880" s="2294"/>
      <c r="AS880" s="2294"/>
      <c r="AT880" s="2295"/>
      <c r="AU880" s="2295"/>
      <c r="AV880" s="2295"/>
      <c r="AW880" s="2295"/>
      <c r="AX880" s="2296"/>
      <c r="AY880" s="2289"/>
      <c r="AZ880" s="2289"/>
      <c r="BA880" s="2289"/>
      <c r="BB880" s="2289"/>
      <c r="BC880" s="2289"/>
      <c r="BD880" s="2289"/>
      <c r="BE880" s="2289"/>
      <c r="BF880" s="2289"/>
      <c r="BG880" s="2289"/>
      <c r="BH880" s="2289"/>
      <c r="BI880" s="2289"/>
      <c r="BJ880" s="2289"/>
      <c r="BK880" s="2289"/>
      <c r="BL880" s="2289"/>
      <c r="BM880" s="2289"/>
      <c r="BN880" s="2289"/>
      <c r="BO880" s="2289"/>
      <c r="BP880" s="2289"/>
      <c r="BQ880" s="2289"/>
      <c r="BR880" s="2289"/>
    </row>
    <row r="881" spans="1:70" ht="15.75" customHeight="1">
      <c r="A881" s="2289"/>
      <c r="B881" s="2289"/>
      <c r="C881" s="2289"/>
      <c r="D881" s="2289"/>
      <c r="E881" s="2289"/>
      <c r="F881" s="2289"/>
      <c r="G881" s="2290"/>
      <c r="H881" s="2289"/>
      <c r="I881" s="2289"/>
      <c r="J881" s="2290"/>
      <c r="K881" s="2289"/>
      <c r="L881" s="2289"/>
      <c r="M881" s="2290"/>
      <c r="N881" s="2290"/>
      <c r="O881" s="2290"/>
      <c r="P881" s="2290"/>
      <c r="Q881" s="2289"/>
      <c r="R881" s="2289"/>
      <c r="S881" s="2289"/>
      <c r="T881" s="2291"/>
      <c r="U881" s="2289"/>
      <c r="V881" s="2289"/>
      <c r="W881" s="2289"/>
      <c r="X881" s="2292"/>
      <c r="Y881" s="2292"/>
      <c r="Z881" s="2289"/>
      <c r="AA881" s="2289"/>
      <c r="AB881" s="2289"/>
      <c r="AC881" s="2289"/>
      <c r="AD881" s="2293"/>
      <c r="AE881" s="2293"/>
      <c r="AF881" s="2293"/>
      <c r="AG881" s="2293"/>
      <c r="AH881" s="2289"/>
      <c r="AI881" s="2289"/>
      <c r="AJ881" s="2294"/>
      <c r="AK881" s="2294"/>
      <c r="AL881" s="2289"/>
      <c r="AM881" s="2289"/>
      <c r="AN881" s="2289"/>
      <c r="AO881" s="2289"/>
      <c r="AP881" s="2289"/>
      <c r="AQ881" s="2289"/>
      <c r="AR881" s="2294"/>
      <c r="AS881" s="2294"/>
      <c r="AT881" s="2295"/>
      <c r="AU881" s="2295"/>
      <c r="AV881" s="2295"/>
      <c r="AW881" s="2295"/>
      <c r="AX881" s="2296"/>
      <c r="AY881" s="2289"/>
      <c r="AZ881" s="2289"/>
      <c r="BA881" s="2289"/>
      <c r="BB881" s="2289"/>
      <c r="BC881" s="2289"/>
      <c r="BD881" s="2289"/>
      <c r="BE881" s="2289"/>
      <c r="BF881" s="2289"/>
      <c r="BG881" s="2289"/>
      <c r="BH881" s="2289"/>
      <c r="BI881" s="2289"/>
      <c r="BJ881" s="2289"/>
      <c r="BK881" s="2289"/>
      <c r="BL881" s="2289"/>
      <c r="BM881" s="2289"/>
      <c r="BN881" s="2289"/>
      <c r="BO881" s="2289"/>
      <c r="BP881" s="2289"/>
      <c r="BQ881" s="2289"/>
      <c r="BR881" s="2289"/>
    </row>
    <row r="882" spans="1:70" ht="15.75" customHeight="1">
      <c r="A882" s="2289"/>
      <c r="B882" s="2289"/>
      <c r="C882" s="2289"/>
      <c r="D882" s="2289"/>
      <c r="E882" s="2289"/>
      <c r="F882" s="2289"/>
      <c r="G882" s="2290"/>
      <c r="H882" s="2289"/>
      <c r="I882" s="2289"/>
      <c r="J882" s="2290"/>
      <c r="K882" s="2289"/>
      <c r="L882" s="2289"/>
      <c r="M882" s="2290"/>
      <c r="N882" s="2290"/>
      <c r="O882" s="2290"/>
      <c r="P882" s="2290"/>
      <c r="Q882" s="2289"/>
      <c r="R882" s="2289"/>
      <c r="S882" s="2289"/>
      <c r="T882" s="2291"/>
      <c r="U882" s="2289"/>
      <c r="V882" s="2289"/>
      <c r="W882" s="2289"/>
      <c r="X882" s="2292"/>
      <c r="Y882" s="2292"/>
      <c r="Z882" s="2289"/>
      <c r="AA882" s="2289"/>
      <c r="AB882" s="2289"/>
      <c r="AC882" s="2289"/>
      <c r="AD882" s="2293"/>
      <c r="AE882" s="2293"/>
      <c r="AF882" s="2293"/>
      <c r="AG882" s="2293"/>
      <c r="AH882" s="2289"/>
      <c r="AI882" s="2289"/>
      <c r="AJ882" s="2294"/>
      <c r="AK882" s="2294"/>
      <c r="AL882" s="2289"/>
      <c r="AM882" s="2289"/>
      <c r="AN882" s="2289"/>
      <c r="AO882" s="2289"/>
      <c r="AP882" s="2289"/>
      <c r="AQ882" s="2289"/>
      <c r="AR882" s="2294"/>
      <c r="AS882" s="2294"/>
      <c r="AT882" s="2295"/>
      <c r="AU882" s="2295"/>
      <c r="AV882" s="2295"/>
      <c r="AW882" s="2295"/>
      <c r="AX882" s="2296"/>
      <c r="AY882" s="2289"/>
      <c r="AZ882" s="2289"/>
      <c r="BA882" s="2289"/>
      <c r="BB882" s="2289"/>
      <c r="BC882" s="2289"/>
      <c r="BD882" s="2289"/>
      <c r="BE882" s="2289"/>
      <c r="BF882" s="2289"/>
      <c r="BG882" s="2289"/>
      <c r="BH882" s="2289"/>
      <c r="BI882" s="2289"/>
      <c r="BJ882" s="2289"/>
      <c r="BK882" s="2289"/>
      <c r="BL882" s="2289"/>
      <c r="BM882" s="2289"/>
      <c r="BN882" s="2289"/>
      <c r="BO882" s="2289"/>
      <c r="BP882" s="2289"/>
      <c r="BQ882" s="2289"/>
      <c r="BR882" s="2289"/>
    </row>
    <row r="883" spans="1:70" ht="15.75" customHeight="1">
      <c r="A883" s="2289"/>
      <c r="B883" s="2289"/>
      <c r="C883" s="2289"/>
      <c r="D883" s="2289"/>
      <c r="E883" s="2289"/>
      <c r="F883" s="2289"/>
      <c r="G883" s="2290"/>
      <c r="H883" s="2289"/>
      <c r="I883" s="2289"/>
      <c r="J883" s="2290"/>
      <c r="K883" s="2289"/>
      <c r="L883" s="2289"/>
      <c r="M883" s="2290"/>
      <c r="N883" s="2290"/>
      <c r="O883" s="2290"/>
      <c r="P883" s="2290"/>
      <c r="Q883" s="2289"/>
      <c r="R883" s="2289"/>
      <c r="S883" s="2289"/>
      <c r="T883" s="2291"/>
      <c r="U883" s="2289"/>
      <c r="V883" s="2289"/>
      <c r="W883" s="2289"/>
      <c r="X883" s="2292"/>
      <c r="Y883" s="2292"/>
      <c r="Z883" s="2289"/>
      <c r="AA883" s="2289"/>
      <c r="AB883" s="2289"/>
      <c r="AC883" s="2289"/>
      <c r="AD883" s="2293"/>
      <c r="AE883" s="2293"/>
      <c r="AF883" s="2293"/>
      <c r="AG883" s="2293"/>
      <c r="AH883" s="2289"/>
      <c r="AI883" s="2289"/>
      <c r="AJ883" s="2294"/>
      <c r="AK883" s="2294"/>
      <c r="AL883" s="2289"/>
      <c r="AM883" s="2289"/>
      <c r="AN883" s="2289"/>
      <c r="AO883" s="2289"/>
      <c r="AP883" s="2289"/>
      <c r="AQ883" s="2289"/>
      <c r="AR883" s="2294"/>
      <c r="AS883" s="2294"/>
      <c r="AT883" s="2295"/>
      <c r="AU883" s="2295"/>
      <c r="AV883" s="2295"/>
      <c r="AW883" s="2295"/>
      <c r="AX883" s="2296"/>
      <c r="AY883" s="2289"/>
      <c r="AZ883" s="2289"/>
      <c r="BA883" s="2289"/>
      <c r="BB883" s="2289"/>
      <c r="BC883" s="2289"/>
      <c r="BD883" s="2289"/>
      <c r="BE883" s="2289"/>
      <c r="BF883" s="2289"/>
      <c r="BG883" s="2289"/>
      <c r="BH883" s="2289"/>
      <c r="BI883" s="2289"/>
      <c r="BJ883" s="2289"/>
      <c r="BK883" s="2289"/>
      <c r="BL883" s="2289"/>
      <c r="BM883" s="2289"/>
      <c r="BN883" s="2289"/>
      <c r="BO883" s="2289"/>
      <c r="BP883" s="2289"/>
      <c r="BQ883" s="2289"/>
      <c r="BR883" s="2289"/>
    </row>
    <row r="884" spans="1:70" ht="15.75" customHeight="1">
      <c r="A884" s="2289"/>
      <c r="B884" s="2289"/>
      <c r="C884" s="2289"/>
      <c r="D884" s="2289"/>
      <c r="E884" s="2289"/>
      <c r="F884" s="2289"/>
      <c r="G884" s="2290"/>
      <c r="H884" s="2289"/>
      <c r="I884" s="2289"/>
      <c r="J884" s="2290"/>
      <c r="K884" s="2289"/>
      <c r="L884" s="2289"/>
      <c r="M884" s="2290"/>
      <c r="N884" s="2290"/>
      <c r="O884" s="2290"/>
      <c r="P884" s="2290"/>
      <c r="Q884" s="2289"/>
      <c r="R884" s="2289"/>
      <c r="S884" s="2289"/>
      <c r="T884" s="2291"/>
      <c r="U884" s="2289"/>
      <c r="V884" s="2289"/>
      <c r="W884" s="2289"/>
      <c r="X884" s="2292"/>
      <c r="Y884" s="2292"/>
      <c r="Z884" s="2289"/>
      <c r="AA884" s="2289"/>
      <c r="AB884" s="2289"/>
      <c r="AC884" s="2289"/>
      <c r="AD884" s="2293"/>
      <c r="AE884" s="2293"/>
      <c r="AF884" s="2293"/>
      <c r="AG884" s="2293"/>
      <c r="AH884" s="2289"/>
      <c r="AI884" s="2289"/>
      <c r="AJ884" s="2294"/>
      <c r="AK884" s="2294"/>
      <c r="AL884" s="2289"/>
      <c r="AM884" s="2289"/>
      <c r="AN884" s="2289"/>
      <c r="AO884" s="2289"/>
      <c r="AP884" s="2289"/>
      <c r="AQ884" s="2289"/>
      <c r="AR884" s="2294"/>
      <c r="AS884" s="2294"/>
      <c r="AT884" s="2295"/>
      <c r="AU884" s="2295"/>
      <c r="AV884" s="2295"/>
      <c r="AW884" s="2295"/>
      <c r="AX884" s="2296"/>
      <c r="AY884" s="2289"/>
      <c r="AZ884" s="2289"/>
      <c r="BA884" s="2289"/>
      <c r="BB884" s="2289"/>
      <c r="BC884" s="2289"/>
      <c r="BD884" s="2289"/>
      <c r="BE884" s="2289"/>
      <c r="BF884" s="2289"/>
      <c r="BG884" s="2289"/>
      <c r="BH884" s="2289"/>
      <c r="BI884" s="2289"/>
      <c r="BJ884" s="2289"/>
      <c r="BK884" s="2289"/>
      <c r="BL884" s="2289"/>
      <c r="BM884" s="2289"/>
      <c r="BN884" s="2289"/>
      <c r="BO884" s="2289"/>
      <c r="BP884" s="2289"/>
      <c r="BQ884" s="2289"/>
      <c r="BR884" s="2289"/>
    </row>
    <row r="885" spans="1:70" ht="15.75" customHeight="1">
      <c r="A885" s="2289"/>
      <c r="B885" s="2289"/>
      <c r="C885" s="2289"/>
      <c r="D885" s="2289"/>
      <c r="E885" s="2289"/>
      <c r="F885" s="2289"/>
      <c r="G885" s="2290"/>
      <c r="H885" s="2289"/>
      <c r="I885" s="2289"/>
      <c r="J885" s="2290"/>
      <c r="K885" s="2289"/>
      <c r="L885" s="2289"/>
      <c r="M885" s="2290"/>
      <c r="N885" s="2290"/>
      <c r="O885" s="2290"/>
      <c r="P885" s="2290"/>
      <c r="Q885" s="2289"/>
      <c r="R885" s="2289"/>
      <c r="S885" s="2289"/>
      <c r="T885" s="2291"/>
      <c r="U885" s="2289"/>
      <c r="V885" s="2289"/>
      <c r="W885" s="2289"/>
      <c r="X885" s="2292"/>
      <c r="Y885" s="2292"/>
      <c r="Z885" s="2289"/>
      <c r="AA885" s="2289"/>
      <c r="AB885" s="2289"/>
      <c r="AC885" s="2289"/>
      <c r="AD885" s="2293"/>
      <c r="AE885" s="2293"/>
      <c r="AF885" s="2293"/>
      <c r="AG885" s="2293"/>
      <c r="AH885" s="2289"/>
      <c r="AI885" s="2289"/>
      <c r="AJ885" s="2294"/>
      <c r="AK885" s="2294"/>
      <c r="AL885" s="2289"/>
      <c r="AM885" s="2289"/>
      <c r="AN885" s="2289"/>
      <c r="AO885" s="2289"/>
      <c r="AP885" s="2289"/>
      <c r="AQ885" s="2289"/>
      <c r="AR885" s="2294"/>
      <c r="AS885" s="2294"/>
      <c r="AT885" s="2295"/>
      <c r="AU885" s="2295"/>
      <c r="AV885" s="2295"/>
      <c r="AW885" s="2295"/>
      <c r="AX885" s="2296"/>
      <c r="AY885" s="2289"/>
      <c r="AZ885" s="2289"/>
      <c r="BA885" s="2289"/>
      <c r="BB885" s="2289"/>
      <c r="BC885" s="2289"/>
      <c r="BD885" s="2289"/>
      <c r="BE885" s="2289"/>
      <c r="BF885" s="2289"/>
      <c r="BG885" s="2289"/>
      <c r="BH885" s="2289"/>
      <c r="BI885" s="2289"/>
      <c r="BJ885" s="2289"/>
      <c r="BK885" s="2289"/>
      <c r="BL885" s="2289"/>
      <c r="BM885" s="2289"/>
      <c r="BN885" s="2289"/>
      <c r="BO885" s="2289"/>
      <c r="BP885" s="2289"/>
      <c r="BQ885" s="2289"/>
      <c r="BR885" s="2289"/>
    </row>
    <row r="886" spans="1:70" ht="15.75" customHeight="1">
      <c r="A886" s="2289"/>
      <c r="B886" s="2289"/>
      <c r="C886" s="2289"/>
      <c r="D886" s="2289"/>
      <c r="E886" s="2289"/>
      <c r="F886" s="2289"/>
      <c r="G886" s="2290"/>
      <c r="H886" s="2289"/>
      <c r="I886" s="2289"/>
      <c r="J886" s="2290"/>
      <c r="K886" s="2289"/>
      <c r="L886" s="2289"/>
      <c r="M886" s="2290"/>
      <c r="N886" s="2290"/>
      <c r="O886" s="2290"/>
      <c r="P886" s="2290"/>
      <c r="Q886" s="2289"/>
      <c r="R886" s="2289"/>
      <c r="S886" s="2289"/>
      <c r="T886" s="2291"/>
      <c r="U886" s="2289"/>
      <c r="V886" s="2289"/>
      <c r="W886" s="2289"/>
      <c r="X886" s="2292"/>
      <c r="Y886" s="2292"/>
      <c r="Z886" s="2289"/>
      <c r="AA886" s="2289"/>
      <c r="AB886" s="2289"/>
      <c r="AC886" s="2289"/>
      <c r="AD886" s="2293"/>
      <c r="AE886" s="2293"/>
      <c r="AF886" s="2293"/>
      <c r="AG886" s="2293"/>
      <c r="AH886" s="2289"/>
      <c r="AI886" s="2289"/>
      <c r="AJ886" s="2294"/>
      <c r="AK886" s="2294"/>
      <c r="AL886" s="2289"/>
      <c r="AM886" s="2289"/>
      <c r="AN886" s="2289"/>
      <c r="AO886" s="2289"/>
      <c r="AP886" s="2289"/>
      <c r="AQ886" s="2289"/>
      <c r="AR886" s="2294"/>
      <c r="AS886" s="2294"/>
      <c r="AT886" s="2295"/>
      <c r="AU886" s="2295"/>
      <c r="AV886" s="2295"/>
      <c r="AW886" s="2295"/>
      <c r="AX886" s="2296"/>
      <c r="AY886" s="2289"/>
      <c r="AZ886" s="2289"/>
      <c r="BA886" s="2289"/>
      <c r="BB886" s="2289"/>
      <c r="BC886" s="2289"/>
      <c r="BD886" s="2289"/>
      <c r="BE886" s="2289"/>
      <c r="BF886" s="2289"/>
      <c r="BG886" s="2289"/>
      <c r="BH886" s="2289"/>
      <c r="BI886" s="2289"/>
      <c r="BJ886" s="2289"/>
      <c r="BK886" s="2289"/>
      <c r="BL886" s="2289"/>
      <c r="BM886" s="2289"/>
      <c r="BN886" s="2289"/>
      <c r="BO886" s="2289"/>
      <c r="BP886" s="2289"/>
      <c r="BQ886" s="2289"/>
      <c r="BR886" s="2289"/>
    </row>
    <row r="887" spans="1:70" ht="15.75" customHeight="1">
      <c r="A887" s="2289"/>
      <c r="B887" s="2289"/>
      <c r="C887" s="2289"/>
      <c r="D887" s="2289"/>
      <c r="E887" s="2289"/>
      <c r="F887" s="2289"/>
      <c r="G887" s="2290"/>
      <c r="H887" s="2289"/>
      <c r="I887" s="2289"/>
      <c r="J887" s="2290"/>
      <c r="K887" s="2289"/>
      <c r="L887" s="2289"/>
      <c r="M887" s="2290"/>
      <c r="N887" s="2290"/>
      <c r="O887" s="2290"/>
      <c r="P887" s="2290"/>
      <c r="Q887" s="2289"/>
      <c r="R887" s="2289"/>
      <c r="S887" s="2289"/>
      <c r="T887" s="2291"/>
      <c r="U887" s="2289"/>
      <c r="V887" s="2289"/>
      <c r="W887" s="2289"/>
      <c r="X887" s="2292"/>
      <c r="Y887" s="2292"/>
      <c r="Z887" s="2289"/>
      <c r="AA887" s="2289"/>
      <c r="AB887" s="2289"/>
      <c r="AC887" s="2289"/>
      <c r="AD887" s="2293"/>
      <c r="AE887" s="2293"/>
      <c r="AF887" s="2293"/>
      <c r="AG887" s="2293"/>
      <c r="AH887" s="2289"/>
      <c r="AI887" s="2289"/>
      <c r="AJ887" s="2294"/>
      <c r="AK887" s="2294"/>
      <c r="AL887" s="2289"/>
      <c r="AM887" s="2289"/>
      <c r="AN887" s="2289"/>
      <c r="AO887" s="2289"/>
      <c r="AP887" s="2289"/>
      <c r="AQ887" s="2289"/>
      <c r="AR887" s="2294"/>
      <c r="AS887" s="2294"/>
      <c r="AT887" s="2295"/>
      <c r="AU887" s="2295"/>
      <c r="AV887" s="2295"/>
      <c r="AW887" s="2295"/>
      <c r="AX887" s="2296"/>
      <c r="AY887" s="2289"/>
      <c r="AZ887" s="2289"/>
      <c r="BA887" s="2289"/>
      <c r="BB887" s="2289"/>
      <c r="BC887" s="2289"/>
      <c r="BD887" s="2289"/>
      <c r="BE887" s="2289"/>
      <c r="BF887" s="2289"/>
      <c r="BG887" s="2289"/>
      <c r="BH887" s="2289"/>
      <c r="BI887" s="2289"/>
      <c r="BJ887" s="2289"/>
      <c r="BK887" s="2289"/>
      <c r="BL887" s="2289"/>
      <c r="BM887" s="2289"/>
      <c r="BN887" s="2289"/>
      <c r="BO887" s="2289"/>
      <c r="BP887" s="2289"/>
      <c r="BQ887" s="2289"/>
      <c r="BR887" s="2289"/>
    </row>
    <row r="888" spans="1:70" ht="15.75" customHeight="1">
      <c r="A888" s="2289"/>
      <c r="B888" s="2289"/>
      <c r="C888" s="2289"/>
      <c r="D888" s="2289"/>
      <c r="E888" s="2289"/>
      <c r="F888" s="2289"/>
      <c r="G888" s="2290"/>
      <c r="H888" s="2289"/>
      <c r="I888" s="2289"/>
      <c r="J888" s="2290"/>
      <c r="K888" s="2289"/>
      <c r="L888" s="2289"/>
      <c r="M888" s="2290"/>
      <c r="N888" s="2290"/>
      <c r="O888" s="2290"/>
      <c r="P888" s="2290"/>
      <c r="Q888" s="2289"/>
      <c r="R888" s="2289"/>
      <c r="S888" s="2289"/>
      <c r="T888" s="2291"/>
      <c r="U888" s="2289"/>
      <c r="V888" s="2289"/>
      <c r="W888" s="2289"/>
      <c r="X888" s="2292"/>
      <c r="Y888" s="2292"/>
      <c r="Z888" s="2289"/>
      <c r="AA888" s="2289"/>
      <c r="AB888" s="2289"/>
      <c r="AC888" s="2289"/>
      <c r="AD888" s="2293"/>
      <c r="AE888" s="2293"/>
      <c r="AF888" s="2293"/>
      <c r="AG888" s="2293"/>
      <c r="AH888" s="2289"/>
      <c r="AI888" s="2289"/>
      <c r="AJ888" s="2294"/>
      <c r="AK888" s="2294"/>
      <c r="AL888" s="2289"/>
      <c r="AM888" s="2289"/>
      <c r="AN888" s="2289"/>
      <c r="AO888" s="2289"/>
      <c r="AP888" s="2289"/>
      <c r="AQ888" s="2289"/>
      <c r="AR888" s="2294"/>
      <c r="AS888" s="2294"/>
      <c r="AT888" s="2295"/>
      <c r="AU888" s="2295"/>
      <c r="AV888" s="2295"/>
      <c r="AW888" s="2295"/>
      <c r="AX888" s="2296"/>
      <c r="AY888" s="2289"/>
      <c r="AZ888" s="2289"/>
      <c r="BA888" s="2289"/>
      <c r="BB888" s="2289"/>
      <c r="BC888" s="2289"/>
      <c r="BD888" s="2289"/>
      <c r="BE888" s="2289"/>
      <c r="BF888" s="2289"/>
      <c r="BG888" s="2289"/>
      <c r="BH888" s="2289"/>
      <c r="BI888" s="2289"/>
      <c r="BJ888" s="2289"/>
      <c r="BK888" s="2289"/>
      <c r="BL888" s="2289"/>
      <c r="BM888" s="2289"/>
      <c r="BN888" s="2289"/>
      <c r="BO888" s="2289"/>
      <c r="BP888" s="2289"/>
      <c r="BQ888" s="2289"/>
      <c r="BR888" s="2289"/>
    </row>
    <row r="889" spans="1:70" ht="15.75" customHeight="1">
      <c r="A889" s="2289"/>
      <c r="B889" s="2289"/>
      <c r="C889" s="2289"/>
      <c r="D889" s="2289"/>
      <c r="E889" s="2289"/>
      <c r="F889" s="2289"/>
      <c r="G889" s="2290"/>
      <c r="H889" s="2289"/>
      <c r="I889" s="2289"/>
      <c r="J889" s="2290"/>
      <c r="K889" s="2289"/>
      <c r="L889" s="2289"/>
      <c r="M889" s="2290"/>
      <c r="N889" s="2290"/>
      <c r="O889" s="2290"/>
      <c r="P889" s="2290"/>
      <c r="Q889" s="2289"/>
      <c r="R889" s="2289"/>
      <c r="S889" s="2289"/>
      <c r="T889" s="2291"/>
      <c r="U889" s="2289"/>
      <c r="V889" s="2289"/>
      <c r="W889" s="2289"/>
      <c r="X889" s="2292"/>
      <c r="Y889" s="2292"/>
      <c r="Z889" s="2289"/>
      <c r="AA889" s="2289"/>
      <c r="AB889" s="2289"/>
      <c r="AC889" s="2289"/>
      <c r="AD889" s="2293"/>
      <c r="AE889" s="2293"/>
      <c r="AF889" s="2293"/>
      <c r="AG889" s="2293"/>
      <c r="AH889" s="2289"/>
      <c r="AI889" s="2289"/>
      <c r="AJ889" s="2294"/>
      <c r="AK889" s="2294"/>
      <c r="AL889" s="2289"/>
      <c r="AM889" s="2289"/>
      <c r="AN889" s="2289"/>
      <c r="AO889" s="2289"/>
      <c r="AP889" s="2289"/>
      <c r="AQ889" s="2289"/>
      <c r="AR889" s="2294"/>
      <c r="AS889" s="2294"/>
      <c r="AT889" s="2295"/>
      <c r="AU889" s="2295"/>
      <c r="AV889" s="2295"/>
      <c r="AW889" s="2295"/>
      <c r="AX889" s="2296"/>
      <c r="AY889" s="2289"/>
      <c r="AZ889" s="2289"/>
      <c r="BA889" s="2289"/>
      <c r="BB889" s="2289"/>
      <c r="BC889" s="2289"/>
      <c r="BD889" s="2289"/>
      <c r="BE889" s="2289"/>
      <c r="BF889" s="2289"/>
      <c r="BG889" s="2289"/>
      <c r="BH889" s="2289"/>
      <c r="BI889" s="2289"/>
      <c r="BJ889" s="2289"/>
      <c r="BK889" s="2289"/>
      <c r="BL889" s="2289"/>
      <c r="BM889" s="2289"/>
      <c r="BN889" s="2289"/>
      <c r="BO889" s="2289"/>
      <c r="BP889" s="2289"/>
      <c r="BQ889" s="2289"/>
      <c r="BR889" s="2289"/>
    </row>
    <row r="890" spans="1:70" ht="15.75" customHeight="1">
      <c r="A890" s="2289"/>
      <c r="B890" s="2289"/>
      <c r="C890" s="2289"/>
      <c r="D890" s="2289"/>
      <c r="E890" s="2289"/>
      <c r="F890" s="2289"/>
      <c r="G890" s="2290"/>
      <c r="H890" s="2289"/>
      <c r="I890" s="2289"/>
      <c r="J890" s="2290"/>
      <c r="K890" s="2289"/>
      <c r="L890" s="2289"/>
      <c r="M890" s="2290"/>
      <c r="N890" s="2290"/>
      <c r="O890" s="2290"/>
      <c r="P890" s="2290"/>
      <c r="Q890" s="2289"/>
      <c r="R890" s="2289"/>
      <c r="S890" s="2289"/>
      <c r="T890" s="2291"/>
      <c r="U890" s="2289"/>
      <c r="V890" s="2289"/>
      <c r="W890" s="2289"/>
      <c r="X890" s="2292"/>
      <c r="Y890" s="2292"/>
      <c r="Z890" s="2289"/>
      <c r="AA890" s="2289"/>
      <c r="AB890" s="2289"/>
      <c r="AC890" s="2289"/>
      <c r="AD890" s="2293"/>
      <c r="AE890" s="2293"/>
      <c r="AF890" s="2293"/>
      <c r="AG890" s="2293"/>
      <c r="AH890" s="2289"/>
      <c r="AI890" s="2289"/>
      <c r="AJ890" s="2294"/>
      <c r="AK890" s="2294"/>
      <c r="AL890" s="2289"/>
      <c r="AM890" s="2289"/>
      <c r="AN890" s="2289"/>
      <c r="AO890" s="2289"/>
      <c r="AP890" s="2289"/>
      <c r="AQ890" s="2289"/>
      <c r="AR890" s="2294"/>
      <c r="AS890" s="2294"/>
      <c r="AT890" s="2295"/>
      <c r="AU890" s="2295"/>
      <c r="AV890" s="2295"/>
      <c r="AW890" s="2295"/>
      <c r="AX890" s="2296"/>
      <c r="AY890" s="2289"/>
      <c r="AZ890" s="2289"/>
      <c r="BA890" s="2289"/>
      <c r="BB890" s="2289"/>
      <c r="BC890" s="2289"/>
      <c r="BD890" s="2289"/>
      <c r="BE890" s="2289"/>
      <c r="BF890" s="2289"/>
      <c r="BG890" s="2289"/>
      <c r="BH890" s="2289"/>
      <c r="BI890" s="2289"/>
      <c r="BJ890" s="2289"/>
      <c r="BK890" s="2289"/>
      <c r="BL890" s="2289"/>
      <c r="BM890" s="2289"/>
      <c r="BN890" s="2289"/>
      <c r="BO890" s="2289"/>
      <c r="BP890" s="2289"/>
      <c r="BQ890" s="2289"/>
      <c r="BR890" s="2289"/>
    </row>
    <row r="891" spans="1:70" ht="15.75" customHeight="1">
      <c r="A891" s="2289"/>
      <c r="B891" s="2289"/>
      <c r="C891" s="2289"/>
      <c r="D891" s="2289"/>
      <c r="E891" s="2289"/>
      <c r="F891" s="2289"/>
      <c r="G891" s="2290"/>
      <c r="H891" s="2289"/>
      <c r="I891" s="2289"/>
      <c r="J891" s="2290"/>
      <c r="K891" s="2289"/>
      <c r="L891" s="2289"/>
      <c r="M891" s="2290"/>
      <c r="N891" s="2290"/>
      <c r="O891" s="2290"/>
      <c r="P891" s="2290"/>
      <c r="Q891" s="2289"/>
      <c r="R891" s="2289"/>
      <c r="S891" s="2289"/>
      <c r="T891" s="2291"/>
      <c r="U891" s="2289"/>
      <c r="V891" s="2289"/>
      <c r="W891" s="2289"/>
      <c r="X891" s="2292"/>
      <c r="Y891" s="2292"/>
      <c r="Z891" s="2289"/>
      <c r="AA891" s="2289"/>
      <c r="AB891" s="2289"/>
      <c r="AC891" s="2289"/>
      <c r="AD891" s="2293"/>
      <c r="AE891" s="2293"/>
      <c r="AF891" s="2293"/>
      <c r="AG891" s="2293"/>
      <c r="AH891" s="2289"/>
      <c r="AI891" s="2289"/>
      <c r="AJ891" s="2294"/>
      <c r="AK891" s="2294"/>
      <c r="AL891" s="2289"/>
      <c r="AM891" s="2289"/>
      <c r="AN891" s="2289"/>
      <c r="AO891" s="2289"/>
      <c r="AP891" s="2289"/>
      <c r="AQ891" s="2289"/>
      <c r="AR891" s="2294"/>
      <c r="AS891" s="2294"/>
      <c r="AT891" s="2295"/>
      <c r="AU891" s="2295"/>
      <c r="AV891" s="2295"/>
      <c r="AW891" s="2295"/>
      <c r="AX891" s="2296"/>
      <c r="AY891" s="2289"/>
      <c r="AZ891" s="2289"/>
      <c r="BA891" s="2289"/>
      <c r="BB891" s="2289"/>
      <c r="BC891" s="2289"/>
      <c r="BD891" s="2289"/>
      <c r="BE891" s="2289"/>
      <c r="BF891" s="2289"/>
      <c r="BG891" s="2289"/>
      <c r="BH891" s="2289"/>
      <c r="BI891" s="2289"/>
      <c r="BJ891" s="2289"/>
      <c r="BK891" s="2289"/>
      <c r="BL891" s="2289"/>
      <c r="BM891" s="2289"/>
      <c r="BN891" s="2289"/>
      <c r="BO891" s="2289"/>
      <c r="BP891" s="2289"/>
      <c r="BQ891" s="2289"/>
      <c r="BR891" s="2289"/>
    </row>
    <row r="892" spans="1:70" ht="15.75" customHeight="1">
      <c r="A892" s="2289"/>
      <c r="B892" s="2289"/>
      <c r="C892" s="2289"/>
      <c r="D892" s="2289"/>
      <c r="E892" s="2289"/>
      <c r="F892" s="2289"/>
      <c r="G892" s="2290"/>
      <c r="H892" s="2289"/>
      <c r="I892" s="2289"/>
      <c r="J892" s="2290"/>
      <c r="K892" s="2289"/>
      <c r="L892" s="2289"/>
      <c r="M892" s="2290"/>
      <c r="N892" s="2290"/>
      <c r="O892" s="2290"/>
      <c r="P892" s="2290"/>
      <c r="Q892" s="2289"/>
      <c r="R892" s="2289"/>
      <c r="S892" s="2289"/>
      <c r="T892" s="2291"/>
      <c r="U892" s="2289"/>
      <c r="V892" s="2289"/>
      <c r="W892" s="2289"/>
      <c r="X892" s="2292"/>
      <c r="Y892" s="2292"/>
      <c r="Z892" s="2289"/>
      <c r="AA892" s="2289"/>
      <c r="AB892" s="2289"/>
      <c r="AC892" s="2289"/>
      <c r="AD892" s="2293"/>
      <c r="AE892" s="2293"/>
      <c r="AF892" s="2293"/>
      <c r="AG892" s="2293"/>
      <c r="AH892" s="2289"/>
      <c r="AI892" s="2289"/>
      <c r="AJ892" s="2294"/>
      <c r="AK892" s="2294"/>
      <c r="AL892" s="2289"/>
      <c r="AM892" s="2289"/>
      <c r="AN892" s="2289"/>
      <c r="AO892" s="2289"/>
      <c r="AP892" s="2289"/>
      <c r="AQ892" s="2289"/>
      <c r="AR892" s="2294"/>
      <c r="AS892" s="2294"/>
      <c r="AT892" s="2295"/>
      <c r="AU892" s="2295"/>
      <c r="AV892" s="2295"/>
      <c r="AW892" s="2295"/>
      <c r="AX892" s="2296"/>
      <c r="AY892" s="2289"/>
      <c r="AZ892" s="2289"/>
      <c r="BA892" s="2289"/>
      <c r="BB892" s="2289"/>
      <c r="BC892" s="2289"/>
      <c r="BD892" s="2289"/>
      <c r="BE892" s="2289"/>
      <c r="BF892" s="2289"/>
      <c r="BG892" s="2289"/>
      <c r="BH892" s="2289"/>
      <c r="BI892" s="2289"/>
      <c r="BJ892" s="2289"/>
      <c r="BK892" s="2289"/>
      <c r="BL892" s="2289"/>
      <c r="BM892" s="2289"/>
      <c r="BN892" s="2289"/>
      <c r="BO892" s="2289"/>
      <c r="BP892" s="2289"/>
      <c r="BQ892" s="2289"/>
      <c r="BR892" s="2289"/>
    </row>
    <row r="893" spans="1:70" ht="15.75" customHeight="1">
      <c r="A893" s="2289"/>
      <c r="B893" s="2289"/>
      <c r="C893" s="2289"/>
      <c r="D893" s="2289"/>
      <c r="E893" s="2289"/>
      <c r="F893" s="2289"/>
      <c r="G893" s="2290"/>
      <c r="H893" s="2289"/>
      <c r="I893" s="2289"/>
      <c r="J893" s="2290"/>
      <c r="K893" s="2289"/>
      <c r="L893" s="2289"/>
      <c r="M893" s="2290"/>
      <c r="N893" s="2290"/>
      <c r="O893" s="2290"/>
      <c r="P893" s="2290"/>
      <c r="Q893" s="2289"/>
      <c r="R893" s="2289"/>
      <c r="S893" s="2289"/>
      <c r="T893" s="2291"/>
      <c r="U893" s="2289"/>
      <c r="V893" s="2289"/>
      <c r="W893" s="2289"/>
      <c r="X893" s="2292"/>
      <c r="Y893" s="2292"/>
      <c r="Z893" s="2289"/>
      <c r="AA893" s="2289"/>
      <c r="AB893" s="2289"/>
      <c r="AC893" s="2289"/>
      <c r="AD893" s="2293"/>
      <c r="AE893" s="2293"/>
      <c r="AF893" s="2293"/>
      <c r="AG893" s="2293"/>
      <c r="AH893" s="2289"/>
      <c r="AI893" s="2289"/>
      <c r="AJ893" s="2294"/>
      <c r="AK893" s="2294"/>
      <c r="AL893" s="2289"/>
      <c r="AM893" s="2289"/>
      <c r="AN893" s="2289"/>
      <c r="AO893" s="2289"/>
      <c r="AP893" s="2289"/>
      <c r="AQ893" s="2289"/>
      <c r="AR893" s="2294"/>
      <c r="AS893" s="2294"/>
      <c r="AT893" s="2295"/>
      <c r="AU893" s="2295"/>
      <c r="AV893" s="2295"/>
      <c r="AW893" s="2295"/>
      <c r="AX893" s="2296"/>
      <c r="AY893" s="2289"/>
      <c r="AZ893" s="2289"/>
      <c r="BA893" s="2289"/>
      <c r="BB893" s="2289"/>
      <c r="BC893" s="2289"/>
      <c r="BD893" s="2289"/>
      <c r="BE893" s="2289"/>
      <c r="BF893" s="2289"/>
      <c r="BG893" s="2289"/>
      <c r="BH893" s="2289"/>
      <c r="BI893" s="2289"/>
      <c r="BJ893" s="2289"/>
      <c r="BK893" s="2289"/>
      <c r="BL893" s="2289"/>
      <c r="BM893" s="2289"/>
      <c r="BN893" s="2289"/>
      <c r="BO893" s="2289"/>
      <c r="BP893" s="2289"/>
      <c r="BQ893" s="2289"/>
      <c r="BR893" s="2289"/>
    </row>
    <row r="894" spans="1:70" ht="15.75" customHeight="1">
      <c r="A894" s="2289"/>
      <c r="B894" s="2289"/>
      <c r="C894" s="2289"/>
      <c r="D894" s="2289"/>
      <c r="E894" s="2289"/>
      <c r="F894" s="2289"/>
      <c r="G894" s="2290"/>
      <c r="H894" s="2289"/>
      <c r="I894" s="2289"/>
      <c r="J894" s="2290"/>
      <c r="K894" s="2289"/>
      <c r="L894" s="2289"/>
      <c r="M894" s="2290"/>
      <c r="N894" s="2290"/>
      <c r="O894" s="2290"/>
      <c r="P894" s="2290"/>
      <c r="Q894" s="2289"/>
      <c r="R894" s="2289"/>
      <c r="S894" s="2289"/>
      <c r="T894" s="2291"/>
      <c r="U894" s="2289"/>
      <c r="V894" s="2289"/>
      <c r="W894" s="2289"/>
      <c r="X894" s="2292"/>
      <c r="Y894" s="2292"/>
      <c r="Z894" s="2289"/>
      <c r="AA894" s="2289"/>
      <c r="AB894" s="2289"/>
      <c r="AC894" s="2289"/>
      <c r="AD894" s="2293"/>
      <c r="AE894" s="2293"/>
      <c r="AF894" s="2293"/>
      <c r="AG894" s="2293"/>
      <c r="AH894" s="2289"/>
      <c r="AI894" s="2289"/>
      <c r="AJ894" s="2294"/>
      <c r="AK894" s="2294"/>
      <c r="AL894" s="2289"/>
      <c r="AM894" s="2289"/>
      <c r="AN894" s="2289"/>
      <c r="AO894" s="2289"/>
      <c r="AP894" s="2289"/>
      <c r="AQ894" s="2289"/>
      <c r="AR894" s="2294"/>
      <c r="AS894" s="2294"/>
      <c r="AT894" s="2295"/>
      <c r="AU894" s="2295"/>
      <c r="AV894" s="2295"/>
      <c r="AW894" s="2295"/>
      <c r="AX894" s="2296"/>
      <c r="AY894" s="2289"/>
      <c r="AZ894" s="2289"/>
      <c r="BA894" s="2289"/>
      <c r="BB894" s="2289"/>
      <c r="BC894" s="2289"/>
      <c r="BD894" s="2289"/>
      <c r="BE894" s="2289"/>
      <c r="BF894" s="2289"/>
      <c r="BG894" s="2289"/>
      <c r="BH894" s="2289"/>
      <c r="BI894" s="2289"/>
      <c r="BJ894" s="2289"/>
      <c r="BK894" s="2289"/>
      <c r="BL894" s="2289"/>
      <c r="BM894" s="2289"/>
      <c r="BN894" s="2289"/>
      <c r="BO894" s="2289"/>
      <c r="BP894" s="2289"/>
      <c r="BQ894" s="2289"/>
      <c r="BR894" s="2289"/>
    </row>
    <row r="895" spans="1:70" ht="15.75" customHeight="1">
      <c r="A895" s="2289"/>
      <c r="B895" s="2289"/>
      <c r="C895" s="2289"/>
      <c r="D895" s="2289"/>
      <c r="E895" s="2289"/>
      <c r="F895" s="2289"/>
      <c r="G895" s="2290"/>
      <c r="H895" s="2289"/>
      <c r="I895" s="2289"/>
      <c r="J895" s="2290"/>
      <c r="K895" s="2289"/>
      <c r="L895" s="2289"/>
      <c r="M895" s="2290"/>
      <c r="N895" s="2290"/>
      <c r="O895" s="2290"/>
      <c r="P895" s="2290"/>
      <c r="Q895" s="2289"/>
      <c r="R895" s="2289"/>
      <c r="S895" s="2289"/>
      <c r="T895" s="2291"/>
      <c r="U895" s="2289"/>
      <c r="V895" s="2289"/>
      <c r="W895" s="2289"/>
      <c r="X895" s="2292"/>
      <c r="Y895" s="2292"/>
      <c r="Z895" s="2289"/>
      <c r="AA895" s="2289"/>
      <c r="AB895" s="2289"/>
      <c r="AC895" s="2289"/>
      <c r="AD895" s="2293"/>
      <c r="AE895" s="2293"/>
      <c r="AF895" s="2293"/>
      <c r="AG895" s="2293"/>
      <c r="AH895" s="2289"/>
      <c r="AI895" s="2289"/>
      <c r="AJ895" s="2294"/>
      <c r="AK895" s="2294"/>
      <c r="AL895" s="2289"/>
      <c r="AM895" s="2289"/>
      <c r="AN895" s="2289"/>
      <c r="AO895" s="2289"/>
      <c r="AP895" s="2289"/>
      <c r="AQ895" s="2289"/>
      <c r="AR895" s="2294"/>
      <c r="AS895" s="2294"/>
      <c r="AT895" s="2295"/>
      <c r="AU895" s="2295"/>
      <c r="AV895" s="2295"/>
      <c r="AW895" s="2295"/>
      <c r="AX895" s="2296"/>
      <c r="AY895" s="2289"/>
      <c r="AZ895" s="2289"/>
      <c r="BA895" s="2289"/>
      <c r="BB895" s="2289"/>
      <c r="BC895" s="2289"/>
      <c r="BD895" s="2289"/>
      <c r="BE895" s="2289"/>
      <c r="BF895" s="2289"/>
      <c r="BG895" s="2289"/>
      <c r="BH895" s="2289"/>
      <c r="BI895" s="2289"/>
      <c r="BJ895" s="2289"/>
      <c r="BK895" s="2289"/>
      <c r="BL895" s="2289"/>
      <c r="BM895" s="2289"/>
      <c r="BN895" s="2289"/>
      <c r="BO895" s="2289"/>
      <c r="BP895" s="2289"/>
      <c r="BQ895" s="2289"/>
      <c r="BR895" s="2289"/>
    </row>
    <row r="896" spans="1:70" ht="15.75" customHeight="1">
      <c r="A896" s="2289"/>
      <c r="B896" s="2289"/>
      <c r="C896" s="2289"/>
      <c r="D896" s="2289"/>
      <c r="E896" s="2289"/>
      <c r="F896" s="2289"/>
      <c r="G896" s="2290"/>
      <c r="H896" s="2289"/>
      <c r="I896" s="2289"/>
      <c r="J896" s="2290"/>
      <c r="K896" s="2289"/>
      <c r="L896" s="2289"/>
      <c r="M896" s="2290"/>
      <c r="N896" s="2290"/>
      <c r="O896" s="2290"/>
      <c r="P896" s="2290"/>
      <c r="Q896" s="2289"/>
      <c r="R896" s="2289"/>
      <c r="S896" s="2289"/>
      <c r="T896" s="2291"/>
      <c r="U896" s="2289"/>
      <c r="V896" s="2289"/>
      <c r="W896" s="2289"/>
      <c r="X896" s="2292"/>
      <c r="Y896" s="2292"/>
      <c r="Z896" s="2289"/>
      <c r="AA896" s="2289"/>
      <c r="AB896" s="2289"/>
      <c r="AC896" s="2289"/>
      <c r="AD896" s="2293"/>
      <c r="AE896" s="2293"/>
      <c r="AF896" s="2293"/>
      <c r="AG896" s="2293"/>
      <c r="AH896" s="2289"/>
      <c r="AI896" s="2289"/>
      <c r="AJ896" s="2294"/>
      <c r="AK896" s="2294"/>
      <c r="AL896" s="2289"/>
      <c r="AM896" s="2289"/>
      <c r="AN896" s="2289"/>
      <c r="AO896" s="2289"/>
      <c r="AP896" s="2289"/>
      <c r="AQ896" s="2289"/>
      <c r="AR896" s="2294"/>
      <c r="AS896" s="2294"/>
      <c r="AT896" s="2295"/>
      <c r="AU896" s="2295"/>
      <c r="AV896" s="2295"/>
      <c r="AW896" s="2295"/>
      <c r="AX896" s="2296"/>
      <c r="AY896" s="2289"/>
      <c r="AZ896" s="2289"/>
      <c r="BA896" s="2289"/>
      <c r="BB896" s="2289"/>
      <c r="BC896" s="2289"/>
      <c r="BD896" s="2289"/>
      <c r="BE896" s="2289"/>
      <c r="BF896" s="2289"/>
      <c r="BG896" s="2289"/>
      <c r="BH896" s="2289"/>
      <c r="BI896" s="2289"/>
      <c r="BJ896" s="2289"/>
      <c r="BK896" s="2289"/>
      <c r="BL896" s="2289"/>
      <c r="BM896" s="2289"/>
      <c r="BN896" s="2289"/>
      <c r="BO896" s="2289"/>
      <c r="BP896" s="2289"/>
      <c r="BQ896" s="2289"/>
      <c r="BR896" s="2289"/>
    </row>
    <row r="897" spans="1:70" ht="15.75" customHeight="1">
      <c r="A897" s="2289"/>
      <c r="B897" s="2289"/>
      <c r="C897" s="2289"/>
      <c r="D897" s="2289"/>
      <c r="E897" s="2289"/>
      <c r="F897" s="2289"/>
      <c r="G897" s="2290"/>
      <c r="H897" s="2289"/>
      <c r="I897" s="2289"/>
      <c r="J897" s="2290"/>
      <c r="K897" s="2289"/>
      <c r="L897" s="2289"/>
      <c r="M897" s="2290"/>
      <c r="N897" s="2290"/>
      <c r="O897" s="2290"/>
      <c r="P897" s="2290"/>
      <c r="Q897" s="2289"/>
      <c r="R897" s="2289"/>
      <c r="S897" s="2289"/>
      <c r="T897" s="2291"/>
      <c r="U897" s="2289"/>
      <c r="V897" s="2289"/>
      <c r="W897" s="2289"/>
      <c r="X897" s="2292"/>
      <c r="Y897" s="2292"/>
      <c r="Z897" s="2289"/>
      <c r="AA897" s="2289"/>
      <c r="AB897" s="2289"/>
      <c r="AC897" s="2289"/>
      <c r="AD897" s="2293"/>
      <c r="AE897" s="2293"/>
      <c r="AF897" s="2293"/>
      <c r="AG897" s="2293"/>
      <c r="AH897" s="2289"/>
      <c r="AI897" s="2289"/>
      <c r="AJ897" s="2294"/>
      <c r="AK897" s="2294"/>
      <c r="AL897" s="2289"/>
      <c r="AM897" s="2289"/>
      <c r="AN897" s="2289"/>
      <c r="AO897" s="2289"/>
      <c r="AP897" s="2289"/>
      <c r="AQ897" s="2289"/>
      <c r="AR897" s="2294"/>
      <c r="AS897" s="2294"/>
      <c r="AT897" s="2295"/>
      <c r="AU897" s="2295"/>
      <c r="AV897" s="2295"/>
      <c r="AW897" s="2295"/>
      <c r="AX897" s="2296"/>
      <c r="AY897" s="2289"/>
      <c r="AZ897" s="2289"/>
      <c r="BA897" s="2289"/>
      <c r="BB897" s="2289"/>
      <c r="BC897" s="2289"/>
      <c r="BD897" s="2289"/>
      <c r="BE897" s="2289"/>
      <c r="BF897" s="2289"/>
      <c r="BG897" s="2289"/>
      <c r="BH897" s="2289"/>
      <c r="BI897" s="2289"/>
      <c r="BJ897" s="2289"/>
      <c r="BK897" s="2289"/>
      <c r="BL897" s="2289"/>
      <c r="BM897" s="2289"/>
      <c r="BN897" s="2289"/>
      <c r="BO897" s="2289"/>
      <c r="BP897" s="2289"/>
      <c r="BQ897" s="2289"/>
      <c r="BR897" s="2289"/>
    </row>
    <row r="898" spans="1:70" ht="15.75" customHeight="1">
      <c r="A898" s="2289"/>
      <c r="B898" s="2289"/>
      <c r="C898" s="2289"/>
      <c r="D898" s="2289"/>
      <c r="E898" s="2289"/>
      <c r="F898" s="2289"/>
      <c r="G898" s="2290"/>
      <c r="H898" s="2289"/>
      <c r="I898" s="2289"/>
      <c r="J898" s="2290"/>
      <c r="K898" s="2289"/>
      <c r="L898" s="2289"/>
      <c r="M898" s="2290"/>
      <c r="N898" s="2290"/>
      <c r="O898" s="2290"/>
      <c r="P898" s="2290"/>
      <c r="Q898" s="2289"/>
      <c r="R898" s="2289"/>
      <c r="S898" s="2289"/>
      <c r="T898" s="2291"/>
      <c r="U898" s="2289"/>
      <c r="V898" s="2289"/>
      <c r="W898" s="2289"/>
      <c r="X898" s="2292"/>
      <c r="Y898" s="2292"/>
      <c r="Z898" s="2289"/>
      <c r="AA898" s="2289"/>
      <c r="AB898" s="2289"/>
      <c r="AC898" s="2289"/>
      <c r="AD898" s="2293"/>
      <c r="AE898" s="2293"/>
      <c r="AF898" s="2293"/>
      <c r="AG898" s="2293"/>
      <c r="AH898" s="2289"/>
      <c r="AI898" s="2289"/>
      <c r="AJ898" s="2294"/>
      <c r="AK898" s="2294"/>
      <c r="AL898" s="2289"/>
      <c r="AM898" s="2289"/>
      <c r="AN898" s="2289"/>
      <c r="AO898" s="2289"/>
      <c r="AP898" s="2289"/>
      <c r="AQ898" s="2289"/>
      <c r="AR898" s="2294"/>
      <c r="AS898" s="2294"/>
      <c r="AT898" s="2295"/>
      <c r="AU898" s="2295"/>
      <c r="AV898" s="2295"/>
      <c r="AW898" s="2295"/>
      <c r="AX898" s="2296"/>
      <c r="AY898" s="2289"/>
      <c r="AZ898" s="2289"/>
      <c r="BA898" s="2289"/>
      <c r="BB898" s="2289"/>
      <c r="BC898" s="2289"/>
      <c r="BD898" s="2289"/>
      <c r="BE898" s="2289"/>
      <c r="BF898" s="2289"/>
      <c r="BG898" s="2289"/>
      <c r="BH898" s="2289"/>
      <c r="BI898" s="2289"/>
      <c r="BJ898" s="2289"/>
      <c r="BK898" s="2289"/>
      <c r="BL898" s="2289"/>
      <c r="BM898" s="2289"/>
      <c r="BN898" s="2289"/>
      <c r="BO898" s="2289"/>
      <c r="BP898" s="2289"/>
      <c r="BQ898" s="2289"/>
      <c r="BR898" s="2289"/>
    </row>
    <row r="899" spans="1:70" ht="15.75" customHeight="1">
      <c r="A899" s="2289"/>
      <c r="B899" s="2289"/>
      <c r="C899" s="2289"/>
      <c r="D899" s="2289"/>
      <c r="E899" s="2289"/>
      <c r="F899" s="2289"/>
      <c r="G899" s="2290"/>
      <c r="H899" s="2289"/>
      <c r="I899" s="2289"/>
      <c r="J899" s="2290"/>
      <c r="K899" s="2289"/>
      <c r="L899" s="2289"/>
      <c r="M899" s="2290"/>
      <c r="N899" s="2290"/>
      <c r="O899" s="2290"/>
      <c r="P899" s="2290"/>
      <c r="Q899" s="2289"/>
      <c r="R899" s="2289"/>
      <c r="S899" s="2289"/>
      <c r="T899" s="2291"/>
      <c r="U899" s="2289"/>
      <c r="V899" s="2289"/>
      <c r="W899" s="2289"/>
      <c r="X899" s="2292"/>
      <c r="Y899" s="2292"/>
      <c r="Z899" s="2289"/>
      <c r="AA899" s="2289"/>
      <c r="AB899" s="2289"/>
      <c r="AC899" s="2289"/>
      <c r="AD899" s="2293"/>
      <c r="AE899" s="2293"/>
      <c r="AF899" s="2293"/>
      <c r="AG899" s="2293"/>
      <c r="AH899" s="2289"/>
      <c r="AI899" s="2289"/>
      <c r="AJ899" s="2294"/>
      <c r="AK899" s="2294"/>
      <c r="AL899" s="2289"/>
      <c r="AM899" s="2289"/>
      <c r="AN899" s="2289"/>
      <c r="AO899" s="2289"/>
      <c r="AP899" s="2289"/>
      <c r="AQ899" s="2289"/>
      <c r="AR899" s="2294"/>
      <c r="AS899" s="2294"/>
      <c r="AT899" s="2295"/>
      <c r="AU899" s="2295"/>
      <c r="AV899" s="2295"/>
      <c r="AW899" s="2295"/>
      <c r="AX899" s="2296"/>
      <c r="AY899" s="2289"/>
      <c r="AZ899" s="2289"/>
      <c r="BA899" s="2289"/>
      <c r="BB899" s="2289"/>
      <c r="BC899" s="2289"/>
      <c r="BD899" s="2289"/>
      <c r="BE899" s="2289"/>
      <c r="BF899" s="2289"/>
      <c r="BG899" s="2289"/>
      <c r="BH899" s="2289"/>
      <c r="BI899" s="2289"/>
      <c r="BJ899" s="2289"/>
      <c r="BK899" s="2289"/>
      <c r="BL899" s="2289"/>
      <c r="BM899" s="2289"/>
      <c r="BN899" s="2289"/>
      <c r="BO899" s="2289"/>
      <c r="BP899" s="2289"/>
      <c r="BQ899" s="2289"/>
      <c r="BR899" s="2289"/>
    </row>
    <row r="900" spans="1:70" ht="15.75" customHeight="1">
      <c r="A900" s="2289"/>
      <c r="B900" s="2289"/>
      <c r="C900" s="2289"/>
      <c r="D900" s="2289"/>
      <c r="E900" s="2289"/>
      <c r="F900" s="2289"/>
      <c r="G900" s="2290"/>
      <c r="H900" s="2289"/>
      <c r="I900" s="2289"/>
      <c r="J900" s="2290"/>
      <c r="K900" s="2289"/>
      <c r="L900" s="2289"/>
      <c r="M900" s="2290"/>
      <c r="N900" s="2290"/>
      <c r="O900" s="2290"/>
      <c r="P900" s="2290"/>
      <c r="Q900" s="2289"/>
      <c r="R900" s="2289"/>
      <c r="S900" s="2289"/>
      <c r="T900" s="2291"/>
      <c r="U900" s="2289"/>
      <c r="V900" s="2289"/>
      <c r="W900" s="2289"/>
      <c r="X900" s="2292"/>
      <c r="Y900" s="2292"/>
      <c r="Z900" s="2289"/>
      <c r="AA900" s="2289"/>
      <c r="AB900" s="2289"/>
      <c r="AC900" s="2289"/>
      <c r="AD900" s="2293"/>
      <c r="AE900" s="2293"/>
      <c r="AF900" s="2293"/>
      <c r="AG900" s="2293"/>
      <c r="AH900" s="2289"/>
      <c r="AI900" s="2289"/>
      <c r="AJ900" s="2294"/>
      <c r="AK900" s="2294"/>
      <c r="AL900" s="2289"/>
      <c r="AM900" s="2289"/>
      <c r="AN900" s="2289"/>
      <c r="AO900" s="2289"/>
      <c r="AP900" s="2289"/>
      <c r="AQ900" s="2289"/>
      <c r="AR900" s="2294"/>
      <c r="AS900" s="2294"/>
      <c r="AT900" s="2295"/>
      <c r="AU900" s="2295"/>
      <c r="AV900" s="2295"/>
      <c r="AW900" s="2295"/>
      <c r="AX900" s="2296"/>
      <c r="AY900" s="2289"/>
      <c r="AZ900" s="2289"/>
      <c r="BA900" s="2289"/>
      <c r="BB900" s="2289"/>
      <c r="BC900" s="2289"/>
      <c r="BD900" s="2289"/>
      <c r="BE900" s="2289"/>
      <c r="BF900" s="2289"/>
      <c r="BG900" s="2289"/>
      <c r="BH900" s="2289"/>
      <c r="BI900" s="2289"/>
      <c r="BJ900" s="2289"/>
      <c r="BK900" s="2289"/>
      <c r="BL900" s="2289"/>
      <c r="BM900" s="2289"/>
      <c r="BN900" s="2289"/>
      <c r="BO900" s="2289"/>
      <c r="BP900" s="2289"/>
      <c r="BQ900" s="2289"/>
      <c r="BR900" s="2289"/>
    </row>
    <row r="901" spans="1:70" ht="15.75" customHeight="1">
      <c r="A901" s="2289"/>
      <c r="B901" s="2289"/>
      <c r="C901" s="2289"/>
      <c r="D901" s="2289"/>
      <c r="E901" s="2289"/>
      <c r="F901" s="2289"/>
      <c r="G901" s="2290"/>
      <c r="H901" s="2289"/>
      <c r="I901" s="2289"/>
      <c r="J901" s="2290"/>
      <c r="K901" s="2289"/>
      <c r="L901" s="2289"/>
      <c r="M901" s="2290"/>
      <c r="N901" s="2290"/>
      <c r="O901" s="2290"/>
      <c r="P901" s="2290"/>
      <c r="Q901" s="2289"/>
      <c r="R901" s="2289"/>
      <c r="S901" s="2289"/>
      <c r="T901" s="2291"/>
      <c r="U901" s="2289"/>
      <c r="V901" s="2289"/>
      <c r="W901" s="2289"/>
      <c r="X901" s="2292"/>
      <c r="Y901" s="2292"/>
      <c r="Z901" s="2289"/>
      <c r="AA901" s="2289"/>
      <c r="AB901" s="2289"/>
      <c r="AC901" s="2289"/>
      <c r="AD901" s="2293"/>
      <c r="AE901" s="2293"/>
      <c r="AF901" s="2293"/>
      <c r="AG901" s="2293"/>
      <c r="AH901" s="2289"/>
      <c r="AI901" s="2289"/>
      <c r="AJ901" s="2294"/>
      <c r="AK901" s="2294"/>
      <c r="AL901" s="2289"/>
      <c r="AM901" s="2289"/>
      <c r="AN901" s="2289"/>
      <c r="AO901" s="2289"/>
      <c r="AP901" s="2289"/>
      <c r="AQ901" s="2289"/>
      <c r="AR901" s="2294"/>
      <c r="AS901" s="2294"/>
      <c r="AT901" s="2295"/>
      <c r="AU901" s="2295"/>
      <c r="AV901" s="2295"/>
      <c r="AW901" s="2295"/>
      <c r="AX901" s="2296"/>
      <c r="AY901" s="2289"/>
      <c r="AZ901" s="2289"/>
      <c r="BA901" s="2289"/>
      <c r="BB901" s="2289"/>
      <c r="BC901" s="2289"/>
      <c r="BD901" s="2289"/>
      <c r="BE901" s="2289"/>
      <c r="BF901" s="2289"/>
      <c r="BG901" s="2289"/>
      <c r="BH901" s="2289"/>
      <c r="BI901" s="2289"/>
      <c r="BJ901" s="2289"/>
      <c r="BK901" s="2289"/>
      <c r="BL901" s="2289"/>
      <c r="BM901" s="2289"/>
      <c r="BN901" s="2289"/>
      <c r="BO901" s="2289"/>
      <c r="BP901" s="2289"/>
      <c r="BQ901" s="2289"/>
      <c r="BR901" s="2289"/>
    </row>
    <row r="902" spans="1:70" ht="15.75" customHeight="1">
      <c r="A902" s="2289"/>
      <c r="B902" s="2289"/>
      <c r="C902" s="2289"/>
      <c r="D902" s="2289"/>
      <c r="E902" s="2289"/>
      <c r="F902" s="2289"/>
      <c r="G902" s="2290"/>
      <c r="H902" s="2289"/>
      <c r="I902" s="2289"/>
      <c r="J902" s="2290"/>
      <c r="K902" s="2289"/>
      <c r="L902" s="2289"/>
      <c r="M902" s="2290"/>
      <c r="N902" s="2290"/>
      <c r="O902" s="2290"/>
      <c r="P902" s="2290"/>
      <c r="Q902" s="2289"/>
      <c r="R902" s="2289"/>
      <c r="S902" s="2289"/>
      <c r="T902" s="2291"/>
      <c r="U902" s="2289"/>
      <c r="V902" s="2289"/>
      <c r="W902" s="2289"/>
      <c r="X902" s="2292"/>
      <c r="Y902" s="2292"/>
      <c r="Z902" s="2289"/>
      <c r="AA902" s="2289"/>
      <c r="AB902" s="2289"/>
      <c r="AC902" s="2289"/>
      <c r="AD902" s="2293"/>
      <c r="AE902" s="2293"/>
      <c r="AF902" s="2293"/>
      <c r="AG902" s="2293"/>
      <c r="AH902" s="2289"/>
      <c r="AI902" s="2289"/>
      <c r="AJ902" s="2294"/>
      <c r="AK902" s="2294"/>
      <c r="AL902" s="2289"/>
      <c r="AM902" s="2289"/>
      <c r="AN902" s="2289"/>
      <c r="AO902" s="2289"/>
      <c r="AP902" s="2289"/>
      <c r="AQ902" s="2289"/>
      <c r="AR902" s="2294"/>
      <c r="AS902" s="2294"/>
      <c r="AT902" s="2295"/>
      <c r="AU902" s="2295"/>
      <c r="AV902" s="2295"/>
      <c r="AW902" s="2295"/>
      <c r="AX902" s="2296"/>
      <c r="AY902" s="2289"/>
      <c r="AZ902" s="2289"/>
      <c r="BA902" s="2289"/>
      <c r="BB902" s="2289"/>
      <c r="BC902" s="2289"/>
      <c r="BD902" s="2289"/>
      <c r="BE902" s="2289"/>
      <c r="BF902" s="2289"/>
      <c r="BG902" s="2289"/>
      <c r="BH902" s="2289"/>
      <c r="BI902" s="2289"/>
      <c r="BJ902" s="2289"/>
      <c r="BK902" s="2289"/>
      <c r="BL902" s="2289"/>
      <c r="BM902" s="2289"/>
      <c r="BN902" s="2289"/>
      <c r="BO902" s="2289"/>
      <c r="BP902" s="2289"/>
      <c r="BQ902" s="2289"/>
      <c r="BR902" s="2289"/>
    </row>
    <row r="903" spans="1:70" ht="15.75" customHeight="1">
      <c r="A903" s="2289"/>
      <c r="B903" s="2289"/>
      <c r="C903" s="2289"/>
      <c r="D903" s="2289"/>
      <c r="E903" s="2289"/>
      <c r="F903" s="2289"/>
      <c r="G903" s="2290"/>
      <c r="H903" s="2289"/>
      <c r="I903" s="2289"/>
      <c r="J903" s="2290"/>
      <c r="K903" s="2289"/>
      <c r="L903" s="2289"/>
      <c r="M903" s="2290"/>
      <c r="N903" s="2290"/>
      <c r="O903" s="2290"/>
      <c r="P903" s="2290"/>
      <c r="Q903" s="2289"/>
      <c r="R903" s="2289"/>
      <c r="S903" s="2289"/>
      <c r="T903" s="2291"/>
      <c r="U903" s="2289"/>
      <c r="V903" s="2289"/>
      <c r="W903" s="2289"/>
      <c r="X903" s="2292"/>
      <c r="Y903" s="2292"/>
      <c r="Z903" s="2289"/>
      <c r="AA903" s="2289"/>
      <c r="AB903" s="2289"/>
      <c r="AC903" s="2289"/>
      <c r="AD903" s="2293"/>
      <c r="AE903" s="2293"/>
      <c r="AF903" s="2293"/>
      <c r="AG903" s="2293"/>
      <c r="AH903" s="2289"/>
      <c r="AI903" s="2289"/>
      <c r="AJ903" s="2294"/>
      <c r="AK903" s="2294"/>
      <c r="AL903" s="2289"/>
      <c r="AM903" s="2289"/>
      <c r="AN903" s="2289"/>
      <c r="AO903" s="2289"/>
      <c r="AP903" s="2289"/>
      <c r="AQ903" s="2289"/>
      <c r="AR903" s="2294"/>
      <c r="AS903" s="2294"/>
      <c r="AT903" s="2295"/>
      <c r="AU903" s="2295"/>
      <c r="AV903" s="2295"/>
      <c r="AW903" s="2295"/>
      <c r="AX903" s="2296"/>
      <c r="AY903" s="2289"/>
      <c r="AZ903" s="2289"/>
      <c r="BA903" s="2289"/>
      <c r="BB903" s="2289"/>
      <c r="BC903" s="2289"/>
      <c r="BD903" s="2289"/>
      <c r="BE903" s="2289"/>
      <c r="BF903" s="2289"/>
      <c r="BG903" s="2289"/>
      <c r="BH903" s="2289"/>
      <c r="BI903" s="2289"/>
      <c r="BJ903" s="2289"/>
      <c r="BK903" s="2289"/>
      <c r="BL903" s="2289"/>
      <c r="BM903" s="2289"/>
      <c r="BN903" s="2289"/>
      <c r="BO903" s="2289"/>
      <c r="BP903" s="2289"/>
      <c r="BQ903" s="2289"/>
      <c r="BR903" s="2289"/>
    </row>
    <row r="904" spans="1:70" ht="15.75" customHeight="1">
      <c r="A904" s="2289"/>
      <c r="B904" s="2289"/>
      <c r="C904" s="2289"/>
      <c r="D904" s="2289"/>
      <c r="E904" s="2289"/>
      <c r="F904" s="2289"/>
      <c r="G904" s="2290"/>
      <c r="H904" s="2289"/>
      <c r="I904" s="2289"/>
      <c r="J904" s="2290"/>
      <c r="K904" s="2289"/>
      <c r="L904" s="2289"/>
      <c r="M904" s="2290"/>
      <c r="N904" s="2290"/>
      <c r="O904" s="2290"/>
      <c r="P904" s="2290"/>
      <c r="Q904" s="2289"/>
      <c r="R904" s="2289"/>
      <c r="S904" s="2289"/>
      <c r="T904" s="2291"/>
      <c r="U904" s="2289"/>
      <c r="V904" s="2289"/>
      <c r="W904" s="2289"/>
      <c r="X904" s="2292"/>
      <c r="Y904" s="2292"/>
      <c r="Z904" s="2289"/>
      <c r="AA904" s="2289"/>
      <c r="AB904" s="2289"/>
      <c r="AC904" s="2289"/>
      <c r="AD904" s="2293"/>
      <c r="AE904" s="2293"/>
      <c r="AF904" s="2293"/>
      <c r="AG904" s="2293"/>
      <c r="AH904" s="2289"/>
      <c r="AI904" s="2289"/>
      <c r="AJ904" s="2294"/>
      <c r="AK904" s="2294"/>
      <c r="AL904" s="2289"/>
      <c r="AM904" s="2289"/>
      <c r="AN904" s="2289"/>
      <c r="AO904" s="2289"/>
      <c r="AP904" s="2289"/>
      <c r="AQ904" s="2289"/>
      <c r="AR904" s="2294"/>
      <c r="AS904" s="2294"/>
      <c r="AT904" s="2295"/>
      <c r="AU904" s="2295"/>
      <c r="AV904" s="2295"/>
      <c r="AW904" s="2295"/>
      <c r="AX904" s="2296"/>
      <c r="AY904" s="2289"/>
      <c r="AZ904" s="2289"/>
      <c r="BA904" s="2289"/>
      <c r="BB904" s="2289"/>
      <c r="BC904" s="2289"/>
      <c r="BD904" s="2289"/>
      <c r="BE904" s="2289"/>
      <c r="BF904" s="2289"/>
      <c r="BG904" s="2289"/>
      <c r="BH904" s="2289"/>
      <c r="BI904" s="2289"/>
      <c r="BJ904" s="2289"/>
      <c r="BK904" s="2289"/>
      <c r="BL904" s="2289"/>
      <c r="BM904" s="2289"/>
      <c r="BN904" s="2289"/>
      <c r="BO904" s="2289"/>
      <c r="BP904" s="2289"/>
      <c r="BQ904" s="2289"/>
      <c r="BR904" s="2289"/>
    </row>
    <row r="905" spans="1:70" ht="15.75" customHeight="1">
      <c r="A905" s="2289"/>
      <c r="B905" s="2289"/>
      <c r="C905" s="2289"/>
      <c r="D905" s="2289"/>
      <c r="E905" s="2289"/>
      <c r="F905" s="2289"/>
      <c r="G905" s="2290"/>
      <c r="H905" s="2289"/>
      <c r="I905" s="2289"/>
      <c r="J905" s="2290"/>
      <c r="K905" s="2289"/>
      <c r="L905" s="2289"/>
      <c r="M905" s="2290"/>
      <c r="N905" s="2290"/>
      <c r="O905" s="2290"/>
      <c r="P905" s="2290"/>
      <c r="Q905" s="2289"/>
      <c r="R905" s="2289"/>
      <c r="S905" s="2289"/>
      <c r="T905" s="2291"/>
      <c r="U905" s="2289"/>
      <c r="V905" s="2289"/>
      <c r="W905" s="2289"/>
      <c r="X905" s="2292"/>
      <c r="Y905" s="2292"/>
      <c r="Z905" s="2289"/>
      <c r="AA905" s="2289"/>
      <c r="AB905" s="2289"/>
      <c r="AC905" s="2289"/>
      <c r="AD905" s="2293"/>
      <c r="AE905" s="2293"/>
      <c r="AF905" s="2293"/>
      <c r="AG905" s="2293"/>
      <c r="AH905" s="2289"/>
      <c r="AI905" s="2289"/>
      <c r="AJ905" s="2294"/>
      <c r="AK905" s="2294"/>
      <c r="AL905" s="2289"/>
      <c r="AM905" s="2289"/>
      <c r="AN905" s="2289"/>
      <c r="AO905" s="2289"/>
      <c r="AP905" s="2289"/>
      <c r="AQ905" s="2289"/>
      <c r="AR905" s="2294"/>
      <c r="AS905" s="2294"/>
      <c r="AT905" s="2295"/>
      <c r="AU905" s="2295"/>
      <c r="AV905" s="2295"/>
      <c r="AW905" s="2295"/>
      <c r="AX905" s="2296"/>
      <c r="AY905" s="2289"/>
      <c r="AZ905" s="2289"/>
      <c r="BA905" s="2289"/>
      <c r="BB905" s="2289"/>
      <c r="BC905" s="2289"/>
      <c r="BD905" s="2289"/>
      <c r="BE905" s="2289"/>
      <c r="BF905" s="2289"/>
      <c r="BG905" s="2289"/>
      <c r="BH905" s="2289"/>
      <c r="BI905" s="2289"/>
      <c r="BJ905" s="2289"/>
      <c r="BK905" s="2289"/>
      <c r="BL905" s="2289"/>
      <c r="BM905" s="2289"/>
      <c r="BN905" s="2289"/>
      <c r="BO905" s="2289"/>
      <c r="BP905" s="2289"/>
      <c r="BQ905" s="2289"/>
      <c r="BR905" s="2289"/>
    </row>
    <row r="906" spans="1:70" ht="15.75" customHeight="1">
      <c r="A906" s="2289"/>
      <c r="B906" s="2289"/>
      <c r="C906" s="2289"/>
      <c r="D906" s="2289"/>
      <c r="E906" s="2289"/>
      <c r="F906" s="2289"/>
      <c r="G906" s="2290"/>
      <c r="H906" s="2289"/>
      <c r="I906" s="2289"/>
      <c r="J906" s="2290"/>
      <c r="K906" s="2289"/>
      <c r="L906" s="2289"/>
      <c r="M906" s="2290"/>
      <c r="N906" s="2290"/>
      <c r="O906" s="2290"/>
      <c r="P906" s="2290"/>
      <c r="Q906" s="2289"/>
      <c r="R906" s="2289"/>
      <c r="S906" s="2289"/>
      <c r="T906" s="2291"/>
      <c r="U906" s="2289"/>
      <c r="V906" s="2289"/>
      <c r="W906" s="2289"/>
      <c r="X906" s="2292"/>
      <c r="Y906" s="2292"/>
      <c r="Z906" s="2289"/>
      <c r="AA906" s="2289"/>
      <c r="AB906" s="2289"/>
      <c r="AC906" s="2289"/>
      <c r="AD906" s="2293"/>
      <c r="AE906" s="2293"/>
      <c r="AF906" s="2293"/>
      <c r="AG906" s="2293"/>
      <c r="AH906" s="2289"/>
      <c r="AI906" s="2289"/>
      <c r="AJ906" s="2294"/>
      <c r="AK906" s="2294"/>
      <c r="AL906" s="2289"/>
      <c r="AM906" s="2289"/>
      <c r="AN906" s="2289"/>
      <c r="AO906" s="2289"/>
      <c r="AP906" s="2289"/>
      <c r="AQ906" s="2289"/>
      <c r="AR906" s="2294"/>
      <c r="AS906" s="2294"/>
      <c r="AT906" s="2295"/>
      <c r="AU906" s="2295"/>
      <c r="AV906" s="2295"/>
      <c r="AW906" s="2295"/>
      <c r="AX906" s="2296"/>
      <c r="AY906" s="2289"/>
      <c r="AZ906" s="2289"/>
      <c r="BA906" s="2289"/>
      <c r="BB906" s="2289"/>
      <c r="BC906" s="2289"/>
      <c r="BD906" s="2289"/>
      <c r="BE906" s="2289"/>
      <c r="BF906" s="2289"/>
      <c r="BG906" s="2289"/>
      <c r="BH906" s="2289"/>
      <c r="BI906" s="2289"/>
      <c r="BJ906" s="2289"/>
      <c r="BK906" s="2289"/>
      <c r="BL906" s="2289"/>
      <c r="BM906" s="2289"/>
      <c r="BN906" s="2289"/>
      <c r="BO906" s="2289"/>
      <c r="BP906" s="2289"/>
      <c r="BQ906" s="2289"/>
      <c r="BR906" s="2289"/>
    </row>
    <row r="907" spans="1:70" ht="15.75" customHeight="1">
      <c r="A907" s="2289"/>
      <c r="B907" s="2289"/>
      <c r="C907" s="2289"/>
      <c r="D907" s="2289"/>
      <c r="E907" s="2289"/>
      <c r="F907" s="2289"/>
      <c r="G907" s="2290"/>
      <c r="H907" s="2289"/>
      <c r="I907" s="2289"/>
      <c r="J907" s="2290"/>
      <c r="K907" s="2289"/>
      <c r="L907" s="2289"/>
      <c r="M907" s="2290"/>
      <c r="N907" s="2290"/>
      <c r="O907" s="2290"/>
      <c r="P907" s="2290"/>
      <c r="Q907" s="2289"/>
      <c r="R907" s="2289"/>
      <c r="S907" s="2289"/>
      <c r="T907" s="2291"/>
      <c r="U907" s="2289"/>
      <c r="V907" s="2289"/>
      <c r="W907" s="2289"/>
      <c r="X907" s="2292"/>
      <c r="Y907" s="2292"/>
      <c r="Z907" s="2289"/>
      <c r="AA907" s="2289"/>
      <c r="AB907" s="2289"/>
      <c r="AC907" s="2289"/>
      <c r="AD907" s="2293"/>
      <c r="AE907" s="2293"/>
      <c r="AF907" s="2293"/>
      <c r="AG907" s="2293"/>
      <c r="AH907" s="2289"/>
      <c r="AI907" s="2289"/>
      <c r="AJ907" s="2294"/>
      <c r="AK907" s="2294"/>
      <c r="AL907" s="2289"/>
      <c r="AM907" s="2289"/>
      <c r="AN907" s="2289"/>
      <c r="AO907" s="2289"/>
      <c r="AP907" s="2289"/>
      <c r="AQ907" s="2289"/>
      <c r="AR907" s="2294"/>
      <c r="AS907" s="2294"/>
      <c r="AT907" s="2295"/>
      <c r="AU907" s="2295"/>
      <c r="AV907" s="2295"/>
      <c r="AW907" s="2295"/>
      <c r="AX907" s="2296"/>
      <c r="AY907" s="2289"/>
      <c r="AZ907" s="2289"/>
      <c r="BA907" s="2289"/>
      <c r="BB907" s="2289"/>
      <c r="BC907" s="2289"/>
      <c r="BD907" s="2289"/>
      <c r="BE907" s="2289"/>
      <c r="BF907" s="2289"/>
      <c r="BG907" s="2289"/>
      <c r="BH907" s="2289"/>
      <c r="BI907" s="2289"/>
      <c r="BJ907" s="2289"/>
      <c r="BK907" s="2289"/>
      <c r="BL907" s="2289"/>
      <c r="BM907" s="2289"/>
      <c r="BN907" s="2289"/>
      <c r="BO907" s="2289"/>
      <c r="BP907" s="2289"/>
      <c r="BQ907" s="2289"/>
      <c r="BR907" s="2289"/>
    </row>
    <row r="908" spans="1:70" ht="15.75" customHeight="1">
      <c r="A908" s="2289"/>
      <c r="B908" s="2289"/>
      <c r="C908" s="2289"/>
      <c r="D908" s="2289"/>
      <c r="E908" s="2289"/>
      <c r="F908" s="2289"/>
      <c r="G908" s="2290"/>
      <c r="H908" s="2289"/>
      <c r="I908" s="2289"/>
      <c r="J908" s="2290"/>
      <c r="K908" s="2289"/>
      <c r="L908" s="2289"/>
      <c r="M908" s="2290"/>
      <c r="N908" s="2290"/>
      <c r="O908" s="2290"/>
      <c r="P908" s="2290"/>
      <c r="Q908" s="2289"/>
      <c r="R908" s="2289"/>
      <c r="S908" s="2289"/>
      <c r="T908" s="2291"/>
      <c r="U908" s="2289"/>
      <c r="V908" s="2289"/>
      <c r="W908" s="2289"/>
      <c r="X908" s="2292"/>
      <c r="Y908" s="2292"/>
      <c r="Z908" s="2289"/>
      <c r="AA908" s="2289"/>
      <c r="AB908" s="2289"/>
      <c r="AC908" s="2289"/>
      <c r="AD908" s="2293"/>
      <c r="AE908" s="2293"/>
      <c r="AF908" s="2293"/>
      <c r="AG908" s="2293"/>
      <c r="AH908" s="2289"/>
      <c r="AI908" s="2289"/>
      <c r="AJ908" s="2294"/>
      <c r="AK908" s="2294"/>
      <c r="AL908" s="2289"/>
      <c r="AM908" s="2289"/>
      <c r="AN908" s="2289"/>
      <c r="AO908" s="2289"/>
      <c r="AP908" s="2289"/>
      <c r="AQ908" s="2289"/>
      <c r="AR908" s="2294"/>
      <c r="AS908" s="2294"/>
      <c r="AT908" s="2295"/>
      <c r="AU908" s="2295"/>
      <c r="AV908" s="2295"/>
      <c r="AW908" s="2295"/>
      <c r="AX908" s="2296"/>
      <c r="AY908" s="2289"/>
      <c r="AZ908" s="2289"/>
      <c r="BA908" s="2289"/>
      <c r="BB908" s="2289"/>
      <c r="BC908" s="2289"/>
      <c r="BD908" s="2289"/>
      <c r="BE908" s="2289"/>
      <c r="BF908" s="2289"/>
      <c r="BG908" s="2289"/>
      <c r="BH908" s="2289"/>
      <c r="BI908" s="2289"/>
      <c r="BJ908" s="2289"/>
      <c r="BK908" s="2289"/>
      <c r="BL908" s="2289"/>
      <c r="BM908" s="2289"/>
      <c r="BN908" s="2289"/>
      <c r="BO908" s="2289"/>
      <c r="BP908" s="2289"/>
      <c r="BQ908" s="2289"/>
      <c r="BR908" s="2289"/>
    </row>
    <row r="909" spans="1:70" ht="15.75" customHeight="1">
      <c r="A909" s="2289"/>
      <c r="B909" s="2289"/>
      <c r="C909" s="2289"/>
      <c r="D909" s="2289"/>
      <c r="E909" s="2289"/>
      <c r="F909" s="2289"/>
      <c r="G909" s="2290"/>
      <c r="H909" s="2289"/>
      <c r="I909" s="2289"/>
      <c r="J909" s="2290"/>
      <c r="K909" s="2289"/>
      <c r="L909" s="2289"/>
      <c r="M909" s="2290"/>
      <c r="N909" s="2290"/>
      <c r="O909" s="2290"/>
      <c r="P909" s="2290"/>
      <c r="Q909" s="2289"/>
      <c r="R909" s="2289"/>
      <c r="S909" s="2289"/>
      <c r="T909" s="2291"/>
      <c r="U909" s="2289"/>
      <c r="V909" s="2289"/>
      <c r="W909" s="2289"/>
      <c r="X909" s="2292"/>
      <c r="Y909" s="2292"/>
      <c r="Z909" s="2289"/>
      <c r="AA909" s="2289"/>
      <c r="AB909" s="2289"/>
      <c r="AC909" s="2289"/>
      <c r="AD909" s="2293"/>
      <c r="AE909" s="2293"/>
      <c r="AF909" s="2293"/>
      <c r="AG909" s="2293"/>
      <c r="AH909" s="2289"/>
      <c r="AI909" s="2289"/>
      <c r="AJ909" s="2294"/>
      <c r="AK909" s="2294"/>
      <c r="AL909" s="2289"/>
      <c r="AM909" s="2289"/>
      <c r="AN909" s="2289"/>
      <c r="AO909" s="2289"/>
      <c r="AP909" s="2289"/>
      <c r="AQ909" s="2289"/>
      <c r="AR909" s="2294"/>
      <c r="AS909" s="2294"/>
      <c r="AT909" s="2295"/>
      <c r="AU909" s="2295"/>
      <c r="AV909" s="2295"/>
      <c r="AW909" s="2295"/>
      <c r="AX909" s="2296"/>
      <c r="AY909" s="2289"/>
      <c r="AZ909" s="2289"/>
      <c r="BA909" s="2289"/>
      <c r="BB909" s="2289"/>
      <c r="BC909" s="2289"/>
      <c r="BD909" s="2289"/>
      <c r="BE909" s="2289"/>
      <c r="BF909" s="2289"/>
      <c r="BG909" s="2289"/>
      <c r="BH909" s="2289"/>
      <c r="BI909" s="2289"/>
      <c r="BJ909" s="2289"/>
      <c r="BK909" s="2289"/>
      <c r="BL909" s="2289"/>
      <c r="BM909" s="2289"/>
      <c r="BN909" s="2289"/>
      <c r="BO909" s="2289"/>
      <c r="BP909" s="2289"/>
      <c r="BQ909" s="2289"/>
      <c r="BR909" s="2289"/>
    </row>
    <row r="910" spans="1:70" ht="15.75" customHeight="1">
      <c r="A910" s="2289"/>
      <c r="B910" s="2289"/>
      <c r="C910" s="2289"/>
      <c r="D910" s="2289"/>
      <c r="E910" s="2289"/>
      <c r="F910" s="2289"/>
      <c r="G910" s="2290"/>
      <c r="H910" s="2289"/>
      <c r="I910" s="2289"/>
      <c r="J910" s="2290"/>
      <c r="K910" s="2289"/>
      <c r="L910" s="2289"/>
      <c r="M910" s="2290"/>
      <c r="N910" s="2290"/>
      <c r="O910" s="2290"/>
      <c r="P910" s="2290"/>
      <c r="Q910" s="2289"/>
      <c r="R910" s="2289"/>
      <c r="S910" s="2289"/>
      <c r="T910" s="2291"/>
      <c r="U910" s="2289"/>
      <c r="V910" s="2289"/>
      <c r="W910" s="2289"/>
      <c r="X910" s="2292"/>
      <c r="Y910" s="2292"/>
      <c r="Z910" s="2289"/>
      <c r="AA910" s="2289"/>
      <c r="AB910" s="2289"/>
      <c r="AC910" s="2289"/>
      <c r="AD910" s="2293"/>
      <c r="AE910" s="2293"/>
      <c r="AF910" s="2293"/>
      <c r="AG910" s="2293"/>
      <c r="AH910" s="2289"/>
      <c r="AI910" s="2289"/>
      <c r="AJ910" s="2294"/>
      <c r="AK910" s="2294"/>
      <c r="AL910" s="2289"/>
      <c r="AM910" s="2289"/>
      <c r="AN910" s="2289"/>
      <c r="AO910" s="2289"/>
      <c r="AP910" s="2289"/>
      <c r="AQ910" s="2289"/>
      <c r="AR910" s="2294"/>
      <c r="AS910" s="2294"/>
      <c r="AT910" s="2295"/>
      <c r="AU910" s="2295"/>
      <c r="AV910" s="2295"/>
      <c r="AW910" s="2295"/>
      <c r="AX910" s="2296"/>
      <c r="AY910" s="2289"/>
      <c r="AZ910" s="2289"/>
      <c r="BA910" s="2289"/>
      <c r="BB910" s="2289"/>
      <c r="BC910" s="2289"/>
      <c r="BD910" s="2289"/>
      <c r="BE910" s="2289"/>
      <c r="BF910" s="2289"/>
      <c r="BG910" s="2289"/>
      <c r="BH910" s="2289"/>
      <c r="BI910" s="2289"/>
      <c r="BJ910" s="2289"/>
      <c r="BK910" s="2289"/>
      <c r="BL910" s="2289"/>
      <c r="BM910" s="2289"/>
      <c r="BN910" s="2289"/>
      <c r="BO910" s="2289"/>
      <c r="BP910" s="2289"/>
      <c r="BQ910" s="2289"/>
      <c r="BR910" s="2289"/>
    </row>
    <row r="911" spans="1:70" ht="15.75" customHeight="1">
      <c r="A911" s="2289"/>
      <c r="B911" s="2289"/>
      <c r="C911" s="2289"/>
      <c r="D911" s="2289"/>
      <c r="E911" s="2289"/>
      <c r="F911" s="2289"/>
      <c r="G911" s="2290"/>
      <c r="H911" s="2289"/>
      <c r="I911" s="2289"/>
      <c r="J911" s="2290"/>
      <c r="K911" s="2289"/>
      <c r="L911" s="2289"/>
      <c r="M911" s="2290"/>
      <c r="N911" s="2290"/>
      <c r="O911" s="2290"/>
      <c r="P911" s="2290"/>
      <c r="Q911" s="2289"/>
      <c r="R911" s="2289"/>
      <c r="S911" s="2289"/>
      <c r="T911" s="2291"/>
      <c r="U911" s="2289"/>
      <c r="V911" s="2289"/>
      <c r="W911" s="2289"/>
      <c r="X911" s="2292"/>
      <c r="Y911" s="2292"/>
      <c r="Z911" s="2289"/>
      <c r="AA911" s="2289"/>
      <c r="AB911" s="2289"/>
      <c r="AC911" s="2289"/>
      <c r="AD911" s="2293"/>
      <c r="AE911" s="2293"/>
      <c r="AF911" s="2293"/>
      <c r="AG911" s="2293"/>
      <c r="AH911" s="2289"/>
      <c r="AI911" s="2289"/>
      <c r="AJ911" s="2294"/>
      <c r="AK911" s="2294"/>
      <c r="AL911" s="2289"/>
      <c r="AM911" s="2289"/>
      <c r="AN911" s="2289"/>
      <c r="AO911" s="2289"/>
      <c r="AP911" s="2289"/>
      <c r="AQ911" s="2289"/>
      <c r="AR911" s="2294"/>
      <c r="AS911" s="2294"/>
      <c r="AT911" s="2295"/>
      <c r="AU911" s="2295"/>
      <c r="AV911" s="2295"/>
      <c r="AW911" s="2295"/>
      <c r="AX911" s="2296"/>
      <c r="AY911" s="2289"/>
      <c r="AZ911" s="2289"/>
      <c r="BA911" s="2289"/>
      <c r="BB911" s="2289"/>
      <c r="BC911" s="2289"/>
      <c r="BD911" s="2289"/>
      <c r="BE911" s="2289"/>
      <c r="BF911" s="2289"/>
      <c r="BG911" s="2289"/>
      <c r="BH911" s="2289"/>
      <c r="BI911" s="2289"/>
      <c r="BJ911" s="2289"/>
      <c r="BK911" s="2289"/>
      <c r="BL911" s="2289"/>
      <c r="BM911" s="2289"/>
      <c r="BN911" s="2289"/>
      <c r="BO911" s="2289"/>
      <c r="BP911" s="2289"/>
      <c r="BQ911" s="2289"/>
      <c r="BR911" s="2289"/>
    </row>
    <row r="912" spans="1:70" ht="15.75" customHeight="1">
      <c r="A912" s="2289"/>
      <c r="B912" s="2289"/>
      <c r="C912" s="2289"/>
      <c r="D912" s="2289"/>
      <c r="E912" s="2289"/>
      <c r="F912" s="2289"/>
      <c r="G912" s="2290"/>
      <c r="H912" s="2289"/>
      <c r="I912" s="2289"/>
      <c r="J912" s="2290"/>
      <c r="K912" s="2289"/>
      <c r="L912" s="2289"/>
      <c r="M912" s="2290"/>
      <c r="N912" s="2290"/>
      <c r="O912" s="2290"/>
      <c r="P912" s="2290"/>
      <c r="Q912" s="2289"/>
      <c r="R912" s="2289"/>
      <c r="S912" s="2289"/>
      <c r="T912" s="2291"/>
      <c r="U912" s="2289"/>
      <c r="V912" s="2289"/>
      <c r="W912" s="2289"/>
      <c r="X912" s="2292"/>
      <c r="Y912" s="2292"/>
      <c r="Z912" s="2289"/>
      <c r="AA912" s="2289"/>
      <c r="AB912" s="2289"/>
      <c r="AC912" s="2289"/>
      <c r="AD912" s="2293"/>
      <c r="AE912" s="2293"/>
      <c r="AF912" s="2293"/>
      <c r="AG912" s="2293"/>
      <c r="AH912" s="2289"/>
      <c r="AI912" s="2289"/>
      <c r="AJ912" s="2294"/>
      <c r="AK912" s="2294"/>
      <c r="AL912" s="2289"/>
      <c r="AM912" s="2289"/>
      <c r="AN912" s="2289"/>
      <c r="AO912" s="2289"/>
      <c r="AP912" s="2289"/>
      <c r="AQ912" s="2289"/>
      <c r="AR912" s="2294"/>
      <c r="AS912" s="2294"/>
      <c r="AT912" s="2295"/>
      <c r="AU912" s="2295"/>
      <c r="AV912" s="2295"/>
      <c r="AW912" s="2295"/>
      <c r="AX912" s="2296"/>
      <c r="AY912" s="2289"/>
      <c r="AZ912" s="2289"/>
      <c r="BA912" s="2289"/>
      <c r="BB912" s="2289"/>
      <c r="BC912" s="2289"/>
      <c r="BD912" s="2289"/>
      <c r="BE912" s="2289"/>
      <c r="BF912" s="2289"/>
      <c r="BG912" s="2289"/>
      <c r="BH912" s="2289"/>
      <c r="BI912" s="2289"/>
      <c r="BJ912" s="2289"/>
      <c r="BK912" s="2289"/>
      <c r="BL912" s="2289"/>
      <c r="BM912" s="2289"/>
      <c r="BN912" s="2289"/>
      <c r="BO912" s="2289"/>
      <c r="BP912" s="2289"/>
      <c r="BQ912" s="2289"/>
      <c r="BR912" s="2289"/>
    </row>
    <row r="913" spans="1:70" ht="15.75" customHeight="1">
      <c r="A913" s="2289"/>
      <c r="B913" s="2289"/>
      <c r="C913" s="2289"/>
      <c r="D913" s="2289"/>
      <c r="E913" s="2289"/>
      <c r="F913" s="2289"/>
      <c r="G913" s="2290"/>
      <c r="H913" s="2289"/>
      <c r="I913" s="2289"/>
      <c r="J913" s="2290"/>
      <c r="K913" s="2289"/>
      <c r="L913" s="2289"/>
      <c r="M913" s="2290"/>
      <c r="N913" s="2290"/>
      <c r="O913" s="2290"/>
      <c r="P913" s="2290"/>
      <c r="Q913" s="2289"/>
      <c r="R913" s="2289"/>
      <c r="S913" s="2289"/>
      <c r="T913" s="2291"/>
      <c r="U913" s="2289"/>
      <c r="V913" s="2289"/>
      <c r="W913" s="2289"/>
      <c r="X913" s="2292"/>
      <c r="Y913" s="2292"/>
      <c r="Z913" s="2289"/>
      <c r="AA913" s="2289"/>
      <c r="AB913" s="2289"/>
      <c r="AC913" s="2289"/>
      <c r="AD913" s="2293"/>
      <c r="AE913" s="2293"/>
      <c r="AF913" s="2293"/>
      <c r="AG913" s="2293"/>
      <c r="AH913" s="2289"/>
      <c r="AI913" s="2289"/>
      <c r="AJ913" s="2294"/>
      <c r="AK913" s="2294"/>
      <c r="AL913" s="2289"/>
      <c r="AM913" s="2289"/>
      <c r="AN913" s="2289"/>
      <c r="AO913" s="2289"/>
      <c r="AP913" s="2289"/>
      <c r="AQ913" s="2289"/>
      <c r="AR913" s="2294"/>
      <c r="AS913" s="2294"/>
      <c r="AT913" s="2295"/>
      <c r="AU913" s="2295"/>
      <c r="AV913" s="2295"/>
      <c r="AW913" s="2295"/>
      <c r="AX913" s="2296"/>
      <c r="AY913" s="2289"/>
      <c r="AZ913" s="2289"/>
      <c r="BA913" s="2289"/>
      <c r="BB913" s="2289"/>
      <c r="BC913" s="2289"/>
      <c r="BD913" s="2289"/>
      <c r="BE913" s="2289"/>
      <c r="BF913" s="2289"/>
      <c r="BG913" s="2289"/>
      <c r="BH913" s="2289"/>
      <c r="BI913" s="2289"/>
      <c r="BJ913" s="2289"/>
      <c r="BK913" s="2289"/>
      <c r="BL913" s="2289"/>
      <c r="BM913" s="2289"/>
      <c r="BN913" s="2289"/>
      <c r="BO913" s="2289"/>
      <c r="BP913" s="2289"/>
      <c r="BQ913" s="2289"/>
      <c r="BR913" s="2289"/>
    </row>
    <row r="914" spans="1:70" ht="15.75" customHeight="1">
      <c r="A914" s="2289"/>
      <c r="B914" s="2289"/>
      <c r="C914" s="2289"/>
      <c r="D914" s="2289"/>
      <c r="E914" s="2289"/>
      <c r="F914" s="2289"/>
      <c r="G914" s="2290"/>
      <c r="H914" s="2289"/>
      <c r="I914" s="2289"/>
      <c r="J914" s="2290"/>
      <c r="K914" s="2289"/>
      <c r="L914" s="2289"/>
      <c r="M914" s="2290"/>
      <c r="N914" s="2290"/>
      <c r="O914" s="2290"/>
      <c r="P914" s="2290"/>
      <c r="Q914" s="2289"/>
      <c r="R914" s="2289"/>
      <c r="S914" s="2289"/>
      <c r="T914" s="2291"/>
      <c r="U914" s="2289"/>
      <c r="V914" s="2289"/>
      <c r="W914" s="2289"/>
      <c r="X914" s="2292"/>
      <c r="Y914" s="2292"/>
      <c r="Z914" s="2289"/>
      <c r="AA914" s="2289"/>
      <c r="AB914" s="2289"/>
      <c r="AC914" s="2289"/>
      <c r="AD914" s="2293"/>
      <c r="AE914" s="2293"/>
      <c r="AF914" s="2293"/>
      <c r="AG914" s="2293"/>
      <c r="AH914" s="2289"/>
      <c r="AI914" s="2289"/>
      <c r="AJ914" s="2294"/>
      <c r="AK914" s="2294"/>
      <c r="AL914" s="2289"/>
      <c r="AM914" s="2289"/>
      <c r="AN914" s="2289"/>
      <c r="AO914" s="2289"/>
      <c r="AP914" s="2289"/>
      <c r="AQ914" s="2289"/>
      <c r="AR914" s="2294"/>
      <c r="AS914" s="2294"/>
      <c r="AT914" s="2295"/>
      <c r="AU914" s="2295"/>
      <c r="AV914" s="2295"/>
      <c r="AW914" s="2295"/>
      <c r="AX914" s="2296"/>
      <c r="AY914" s="2289"/>
      <c r="AZ914" s="2289"/>
      <c r="BA914" s="2289"/>
      <c r="BB914" s="2289"/>
      <c r="BC914" s="2289"/>
      <c r="BD914" s="2289"/>
      <c r="BE914" s="2289"/>
      <c r="BF914" s="2289"/>
      <c r="BG914" s="2289"/>
      <c r="BH914" s="2289"/>
      <c r="BI914" s="2289"/>
      <c r="BJ914" s="2289"/>
      <c r="BK914" s="2289"/>
      <c r="BL914" s="2289"/>
      <c r="BM914" s="2289"/>
      <c r="BN914" s="2289"/>
      <c r="BO914" s="2289"/>
      <c r="BP914" s="2289"/>
      <c r="BQ914" s="2289"/>
      <c r="BR914" s="2289"/>
    </row>
    <row r="915" spans="1:70" ht="15.75" customHeight="1">
      <c r="A915" s="2289"/>
      <c r="B915" s="2289"/>
      <c r="C915" s="2289"/>
      <c r="D915" s="2289"/>
      <c r="E915" s="2289"/>
      <c r="F915" s="2289"/>
      <c r="G915" s="2290"/>
      <c r="H915" s="2289"/>
      <c r="I915" s="2289"/>
      <c r="J915" s="2290"/>
      <c r="K915" s="2289"/>
      <c r="L915" s="2289"/>
      <c r="M915" s="2290"/>
      <c r="N915" s="2290"/>
      <c r="O915" s="2290"/>
      <c r="P915" s="2290"/>
      <c r="Q915" s="2289"/>
      <c r="R915" s="2289"/>
      <c r="S915" s="2289"/>
      <c r="T915" s="2291"/>
      <c r="U915" s="2289"/>
      <c r="V915" s="2289"/>
      <c r="W915" s="2289"/>
      <c r="X915" s="2292"/>
      <c r="Y915" s="2292"/>
      <c r="Z915" s="2289"/>
      <c r="AA915" s="2289"/>
      <c r="AB915" s="2289"/>
      <c r="AC915" s="2289"/>
      <c r="AD915" s="2293"/>
      <c r="AE915" s="2293"/>
      <c r="AF915" s="2293"/>
      <c r="AG915" s="2293"/>
      <c r="AH915" s="2289"/>
      <c r="AI915" s="2289"/>
      <c r="AJ915" s="2294"/>
      <c r="AK915" s="2294"/>
      <c r="AL915" s="2289"/>
      <c r="AM915" s="2289"/>
      <c r="AN915" s="2289"/>
      <c r="AO915" s="2289"/>
      <c r="AP915" s="2289"/>
      <c r="AQ915" s="2289"/>
      <c r="AR915" s="2294"/>
      <c r="AS915" s="2294"/>
      <c r="AT915" s="2295"/>
      <c r="AU915" s="2295"/>
      <c r="AV915" s="2295"/>
      <c r="AW915" s="2295"/>
      <c r="AX915" s="2296"/>
      <c r="AY915" s="2289"/>
      <c r="AZ915" s="2289"/>
      <c r="BA915" s="2289"/>
      <c r="BB915" s="2289"/>
      <c r="BC915" s="2289"/>
      <c r="BD915" s="2289"/>
      <c r="BE915" s="2289"/>
      <c r="BF915" s="2289"/>
      <c r="BG915" s="2289"/>
      <c r="BH915" s="2289"/>
      <c r="BI915" s="2289"/>
      <c r="BJ915" s="2289"/>
      <c r="BK915" s="2289"/>
      <c r="BL915" s="2289"/>
      <c r="BM915" s="2289"/>
      <c r="BN915" s="2289"/>
      <c r="BO915" s="2289"/>
      <c r="BP915" s="2289"/>
      <c r="BQ915" s="2289"/>
      <c r="BR915" s="2289"/>
    </row>
    <row r="916" spans="1:70" ht="15.75" customHeight="1">
      <c r="A916" s="2289"/>
      <c r="B916" s="2289"/>
      <c r="C916" s="2289"/>
      <c r="D916" s="2289"/>
      <c r="E916" s="2289"/>
      <c r="F916" s="2289"/>
      <c r="G916" s="2290"/>
      <c r="H916" s="2289"/>
      <c r="I916" s="2289"/>
      <c r="J916" s="2290"/>
      <c r="K916" s="2289"/>
      <c r="L916" s="2289"/>
      <c r="M916" s="2290"/>
      <c r="N916" s="2290"/>
      <c r="O916" s="2290"/>
      <c r="P916" s="2290"/>
      <c r="Q916" s="2289"/>
      <c r="R916" s="2289"/>
      <c r="S916" s="2289"/>
      <c r="T916" s="2291"/>
      <c r="U916" s="2289"/>
      <c r="V916" s="2289"/>
      <c r="W916" s="2289"/>
      <c r="X916" s="2292"/>
      <c r="Y916" s="2292"/>
      <c r="Z916" s="2289"/>
      <c r="AA916" s="2289"/>
      <c r="AB916" s="2289"/>
      <c r="AC916" s="2289"/>
      <c r="AD916" s="2293"/>
      <c r="AE916" s="2293"/>
      <c r="AF916" s="2293"/>
      <c r="AG916" s="2293"/>
      <c r="AH916" s="2289"/>
      <c r="AI916" s="2289"/>
      <c r="AJ916" s="2294"/>
      <c r="AK916" s="2294"/>
      <c r="AL916" s="2289"/>
      <c r="AM916" s="2289"/>
      <c r="AN916" s="2289"/>
      <c r="AO916" s="2289"/>
      <c r="AP916" s="2289"/>
      <c r="AQ916" s="2289"/>
      <c r="AR916" s="2294"/>
      <c r="AS916" s="2294"/>
      <c r="AT916" s="2295"/>
      <c r="AU916" s="2295"/>
      <c r="AV916" s="2295"/>
      <c r="AW916" s="2295"/>
      <c r="AX916" s="2296"/>
      <c r="AY916" s="2289"/>
      <c r="AZ916" s="2289"/>
      <c r="BA916" s="2289"/>
      <c r="BB916" s="2289"/>
      <c r="BC916" s="2289"/>
      <c r="BD916" s="2289"/>
      <c r="BE916" s="2289"/>
      <c r="BF916" s="2289"/>
      <c r="BG916" s="2289"/>
      <c r="BH916" s="2289"/>
      <c r="BI916" s="2289"/>
      <c r="BJ916" s="2289"/>
      <c r="BK916" s="2289"/>
      <c r="BL916" s="2289"/>
      <c r="BM916" s="2289"/>
      <c r="BN916" s="2289"/>
      <c r="BO916" s="2289"/>
      <c r="BP916" s="2289"/>
      <c r="BQ916" s="2289"/>
      <c r="BR916" s="2289"/>
    </row>
    <row r="917" spans="1:70" ht="15.75" customHeight="1">
      <c r="A917" s="2289"/>
      <c r="B917" s="2289"/>
      <c r="C917" s="2289"/>
      <c r="D917" s="2289"/>
      <c r="E917" s="2289"/>
      <c r="F917" s="2289"/>
      <c r="G917" s="2290"/>
      <c r="H917" s="2289"/>
      <c r="I917" s="2289"/>
      <c r="J917" s="2290"/>
      <c r="K917" s="2289"/>
      <c r="L917" s="2289"/>
      <c r="M917" s="2290"/>
      <c r="N917" s="2290"/>
      <c r="O917" s="2290"/>
      <c r="P917" s="2290"/>
      <c r="Q917" s="2289"/>
      <c r="R917" s="2289"/>
      <c r="S917" s="2289"/>
      <c r="T917" s="2291"/>
      <c r="U917" s="2289"/>
      <c r="V917" s="2289"/>
      <c r="W917" s="2289"/>
      <c r="X917" s="2292"/>
      <c r="Y917" s="2292"/>
      <c r="Z917" s="2289"/>
      <c r="AA917" s="2289"/>
      <c r="AB917" s="2289"/>
      <c r="AC917" s="2289"/>
      <c r="AD917" s="2293"/>
      <c r="AE917" s="2293"/>
      <c r="AF917" s="2293"/>
      <c r="AG917" s="2293"/>
      <c r="AH917" s="2289"/>
      <c r="AI917" s="2289"/>
      <c r="AJ917" s="2294"/>
      <c r="AK917" s="2294"/>
      <c r="AL917" s="2289"/>
      <c r="AM917" s="2289"/>
      <c r="AN917" s="2289"/>
      <c r="AO917" s="2289"/>
      <c r="AP917" s="2289"/>
      <c r="AQ917" s="2289"/>
      <c r="AR917" s="2294"/>
      <c r="AS917" s="2294"/>
      <c r="AT917" s="2295"/>
      <c r="AU917" s="2295"/>
      <c r="AV917" s="2295"/>
      <c r="AW917" s="2295"/>
      <c r="AX917" s="2296"/>
      <c r="AY917" s="2289"/>
      <c r="AZ917" s="2289"/>
      <c r="BA917" s="2289"/>
      <c r="BB917" s="2289"/>
      <c r="BC917" s="2289"/>
      <c r="BD917" s="2289"/>
      <c r="BE917" s="2289"/>
      <c r="BF917" s="2289"/>
      <c r="BG917" s="2289"/>
      <c r="BH917" s="2289"/>
      <c r="BI917" s="2289"/>
      <c r="BJ917" s="2289"/>
      <c r="BK917" s="2289"/>
      <c r="BL917" s="2289"/>
      <c r="BM917" s="2289"/>
      <c r="BN917" s="2289"/>
      <c r="BO917" s="2289"/>
      <c r="BP917" s="2289"/>
      <c r="BQ917" s="2289"/>
      <c r="BR917" s="2289"/>
    </row>
    <row r="918" spans="1:70" ht="15.75" customHeight="1">
      <c r="A918" s="2289"/>
      <c r="B918" s="2289"/>
      <c r="C918" s="2289"/>
      <c r="D918" s="2289"/>
      <c r="E918" s="2289"/>
      <c r="F918" s="2289"/>
      <c r="G918" s="2290"/>
      <c r="H918" s="2289"/>
      <c r="I918" s="2289"/>
      <c r="J918" s="2290"/>
      <c r="K918" s="2289"/>
      <c r="L918" s="2289"/>
      <c r="M918" s="2290"/>
      <c r="N918" s="2290"/>
      <c r="O918" s="2290"/>
      <c r="P918" s="2290"/>
      <c r="Q918" s="2289"/>
      <c r="R918" s="2289"/>
      <c r="S918" s="2289"/>
      <c r="T918" s="2291"/>
      <c r="U918" s="2289"/>
      <c r="V918" s="2289"/>
      <c r="W918" s="2289"/>
      <c r="X918" s="2292"/>
      <c r="Y918" s="2292"/>
      <c r="Z918" s="2289"/>
      <c r="AA918" s="2289"/>
      <c r="AB918" s="2289"/>
      <c r="AC918" s="2289"/>
      <c r="AD918" s="2293"/>
      <c r="AE918" s="2293"/>
      <c r="AF918" s="2293"/>
      <c r="AG918" s="2293"/>
      <c r="AH918" s="2289"/>
      <c r="AI918" s="2289"/>
      <c r="AJ918" s="2294"/>
      <c r="AK918" s="2294"/>
      <c r="AL918" s="2289"/>
      <c r="AM918" s="2289"/>
      <c r="AN918" s="2289"/>
      <c r="AO918" s="2289"/>
      <c r="AP918" s="2289"/>
      <c r="AQ918" s="2289"/>
      <c r="AR918" s="2294"/>
      <c r="AS918" s="2294"/>
      <c r="AT918" s="2295"/>
      <c r="AU918" s="2295"/>
      <c r="AV918" s="2295"/>
      <c r="AW918" s="2295"/>
      <c r="AX918" s="2296"/>
      <c r="AY918" s="2289"/>
      <c r="AZ918" s="2289"/>
      <c r="BA918" s="2289"/>
      <c r="BB918" s="2289"/>
      <c r="BC918" s="2289"/>
      <c r="BD918" s="2289"/>
      <c r="BE918" s="2289"/>
      <c r="BF918" s="2289"/>
      <c r="BG918" s="2289"/>
      <c r="BH918" s="2289"/>
      <c r="BI918" s="2289"/>
      <c r="BJ918" s="2289"/>
      <c r="BK918" s="2289"/>
      <c r="BL918" s="2289"/>
      <c r="BM918" s="2289"/>
      <c r="BN918" s="2289"/>
      <c r="BO918" s="2289"/>
      <c r="BP918" s="2289"/>
      <c r="BQ918" s="2289"/>
      <c r="BR918" s="2289"/>
    </row>
    <row r="919" spans="1:70" ht="15.75" customHeight="1">
      <c r="A919" s="2289"/>
      <c r="B919" s="2289"/>
      <c r="C919" s="2289"/>
      <c r="D919" s="2289"/>
      <c r="E919" s="2289"/>
      <c r="F919" s="2289"/>
      <c r="G919" s="2290"/>
      <c r="H919" s="2289"/>
      <c r="I919" s="2289"/>
      <c r="J919" s="2290"/>
      <c r="K919" s="2289"/>
      <c r="L919" s="2289"/>
      <c r="M919" s="2290"/>
      <c r="N919" s="2290"/>
      <c r="O919" s="2290"/>
      <c r="P919" s="2290"/>
      <c r="Q919" s="2289"/>
      <c r="R919" s="2289"/>
      <c r="S919" s="2289"/>
      <c r="T919" s="2291"/>
      <c r="U919" s="2289"/>
      <c r="V919" s="2289"/>
      <c r="W919" s="2289"/>
      <c r="X919" s="2292"/>
      <c r="Y919" s="2292"/>
      <c r="Z919" s="2289"/>
      <c r="AA919" s="2289"/>
      <c r="AB919" s="2289"/>
      <c r="AC919" s="2289"/>
      <c r="AD919" s="2293"/>
      <c r="AE919" s="2293"/>
      <c r="AF919" s="2293"/>
      <c r="AG919" s="2293"/>
      <c r="AH919" s="2289"/>
      <c r="AI919" s="2289"/>
      <c r="AJ919" s="2294"/>
      <c r="AK919" s="2294"/>
      <c r="AL919" s="2289"/>
      <c r="AM919" s="2289"/>
      <c r="AN919" s="2289"/>
      <c r="AO919" s="2289"/>
      <c r="AP919" s="2289"/>
      <c r="AQ919" s="2289"/>
      <c r="AR919" s="2294"/>
      <c r="AS919" s="2294"/>
      <c r="AT919" s="2295"/>
      <c r="AU919" s="2295"/>
      <c r="AV919" s="2295"/>
      <c r="AW919" s="2295"/>
      <c r="AX919" s="2296"/>
      <c r="AY919" s="2289"/>
      <c r="AZ919" s="2289"/>
      <c r="BA919" s="2289"/>
      <c r="BB919" s="2289"/>
      <c r="BC919" s="2289"/>
      <c r="BD919" s="2289"/>
      <c r="BE919" s="2289"/>
      <c r="BF919" s="2289"/>
      <c r="BG919" s="2289"/>
      <c r="BH919" s="2289"/>
      <c r="BI919" s="2289"/>
      <c r="BJ919" s="2289"/>
      <c r="BK919" s="2289"/>
      <c r="BL919" s="2289"/>
      <c r="BM919" s="2289"/>
      <c r="BN919" s="2289"/>
      <c r="BO919" s="2289"/>
      <c r="BP919" s="2289"/>
      <c r="BQ919" s="2289"/>
      <c r="BR919" s="2289"/>
    </row>
    <row r="920" spans="1:70" ht="15.75" customHeight="1">
      <c r="A920" s="2289"/>
      <c r="B920" s="2289"/>
      <c r="C920" s="2289"/>
      <c r="D920" s="2289"/>
      <c r="E920" s="2289"/>
      <c r="F920" s="2289"/>
      <c r="G920" s="2290"/>
      <c r="H920" s="2289"/>
      <c r="I920" s="2289"/>
      <c r="J920" s="2290"/>
      <c r="K920" s="2289"/>
      <c r="L920" s="2289"/>
      <c r="M920" s="2290"/>
      <c r="N920" s="2290"/>
      <c r="O920" s="2290"/>
      <c r="P920" s="2290"/>
      <c r="Q920" s="2289"/>
      <c r="R920" s="2289"/>
      <c r="S920" s="2289"/>
      <c r="T920" s="2291"/>
      <c r="U920" s="2289"/>
      <c r="V920" s="2289"/>
      <c r="W920" s="2289"/>
      <c r="X920" s="2292"/>
      <c r="Y920" s="2292"/>
      <c r="Z920" s="2289"/>
      <c r="AA920" s="2289"/>
      <c r="AB920" s="2289"/>
      <c r="AC920" s="2289"/>
      <c r="AD920" s="2293"/>
      <c r="AE920" s="2293"/>
      <c r="AF920" s="2293"/>
      <c r="AG920" s="2293"/>
      <c r="AH920" s="2289"/>
      <c r="AI920" s="2289"/>
      <c r="AJ920" s="2294"/>
      <c r="AK920" s="2294"/>
      <c r="AL920" s="2289"/>
      <c r="AM920" s="2289"/>
      <c r="AN920" s="2289"/>
      <c r="AO920" s="2289"/>
      <c r="AP920" s="2289"/>
      <c r="AQ920" s="2289"/>
      <c r="AR920" s="2294"/>
      <c r="AS920" s="2294"/>
      <c r="AT920" s="2295"/>
      <c r="AU920" s="2295"/>
      <c r="AV920" s="2295"/>
      <c r="AW920" s="2295"/>
      <c r="AX920" s="2296"/>
      <c r="AY920" s="2289"/>
      <c r="AZ920" s="2289"/>
      <c r="BA920" s="2289"/>
      <c r="BB920" s="2289"/>
      <c r="BC920" s="2289"/>
      <c r="BD920" s="2289"/>
      <c r="BE920" s="2289"/>
      <c r="BF920" s="2289"/>
      <c r="BG920" s="2289"/>
      <c r="BH920" s="2289"/>
      <c r="BI920" s="2289"/>
      <c r="BJ920" s="2289"/>
      <c r="BK920" s="2289"/>
      <c r="BL920" s="2289"/>
      <c r="BM920" s="2289"/>
      <c r="BN920" s="2289"/>
      <c r="BO920" s="2289"/>
      <c r="BP920" s="2289"/>
      <c r="BQ920" s="2289"/>
      <c r="BR920" s="2289"/>
    </row>
    <row r="921" spans="1:70" ht="15.75" customHeight="1">
      <c r="A921" s="2289"/>
      <c r="B921" s="2289"/>
      <c r="C921" s="2289"/>
      <c r="D921" s="2289"/>
      <c r="E921" s="2289"/>
      <c r="F921" s="2289"/>
      <c r="G921" s="2290"/>
      <c r="H921" s="2289"/>
      <c r="I921" s="2289"/>
      <c r="J921" s="2290"/>
      <c r="K921" s="2289"/>
      <c r="L921" s="2289"/>
      <c r="M921" s="2290"/>
      <c r="N921" s="2290"/>
      <c r="O921" s="2290"/>
      <c r="P921" s="2290"/>
      <c r="Q921" s="2289"/>
      <c r="R921" s="2289"/>
      <c r="S921" s="2289"/>
      <c r="T921" s="2291"/>
      <c r="U921" s="2289"/>
      <c r="V921" s="2289"/>
      <c r="W921" s="2289"/>
      <c r="X921" s="2292"/>
      <c r="Y921" s="2292"/>
      <c r="Z921" s="2289"/>
      <c r="AA921" s="2289"/>
      <c r="AB921" s="2289"/>
      <c r="AC921" s="2289"/>
      <c r="AD921" s="2293"/>
      <c r="AE921" s="2293"/>
      <c r="AF921" s="2293"/>
      <c r="AG921" s="2293"/>
      <c r="AH921" s="2289"/>
      <c r="AI921" s="2289"/>
      <c r="AJ921" s="2294"/>
      <c r="AK921" s="2294"/>
      <c r="AL921" s="2289"/>
      <c r="AM921" s="2289"/>
      <c r="AN921" s="2289"/>
      <c r="AO921" s="2289"/>
      <c r="AP921" s="2289"/>
      <c r="AQ921" s="2289"/>
      <c r="AR921" s="2294"/>
      <c r="AS921" s="2294"/>
      <c r="AT921" s="2295"/>
      <c r="AU921" s="2295"/>
      <c r="AV921" s="2295"/>
      <c r="AW921" s="2295"/>
      <c r="AX921" s="2296"/>
      <c r="AY921" s="2289"/>
      <c r="AZ921" s="2289"/>
      <c r="BA921" s="2289"/>
      <c r="BB921" s="2289"/>
      <c r="BC921" s="2289"/>
      <c r="BD921" s="2289"/>
      <c r="BE921" s="2289"/>
      <c r="BF921" s="2289"/>
      <c r="BG921" s="2289"/>
      <c r="BH921" s="2289"/>
      <c r="BI921" s="2289"/>
      <c r="BJ921" s="2289"/>
      <c r="BK921" s="2289"/>
      <c r="BL921" s="2289"/>
      <c r="BM921" s="2289"/>
      <c r="BN921" s="2289"/>
      <c r="BO921" s="2289"/>
      <c r="BP921" s="2289"/>
      <c r="BQ921" s="2289"/>
      <c r="BR921" s="2289"/>
    </row>
    <row r="922" spans="1:70" ht="15.75" customHeight="1">
      <c r="A922" s="2289"/>
      <c r="B922" s="2289"/>
      <c r="C922" s="2289"/>
      <c r="D922" s="2289"/>
      <c r="E922" s="2289"/>
      <c r="F922" s="2289"/>
      <c r="G922" s="2290"/>
      <c r="H922" s="2289"/>
      <c r="I922" s="2289"/>
      <c r="J922" s="2290"/>
      <c r="K922" s="2289"/>
      <c r="L922" s="2289"/>
      <c r="M922" s="2290"/>
      <c r="N922" s="2290"/>
      <c r="O922" s="2290"/>
      <c r="P922" s="2290"/>
      <c r="Q922" s="2289"/>
      <c r="R922" s="2289"/>
      <c r="S922" s="2289"/>
      <c r="T922" s="2291"/>
      <c r="U922" s="2289"/>
      <c r="V922" s="2289"/>
      <c r="W922" s="2289"/>
      <c r="X922" s="2292"/>
      <c r="Y922" s="2292"/>
      <c r="Z922" s="2289"/>
      <c r="AA922" s="2289"/>
      <c r="AB922" s="2289"/>
      <c r="AC922" s="2289"/>
      <c r="AD922" s="2293"/>
      <c r="AE922" s="2293"/>
      <c r="AF922" s="2293"/>
      <c r="AG922" s="2293"/>
      <c r="AH922" s="2289"/>
      <c r="AI922" s="2289"/>
      <c r="AJ922" s="2294"/>
      <c r="AK922" s="2294"/>
      <c r="AL922" s="2289"/>
      <c r="AM922" s="2289"/>
      <c r="AN922" s="2289"/>
      <c r="AO922" s="2289"/>
      <c r="AP922" s="2289"/>
      <c r="AQ922" s="2289"/>
      <c r="AR922" s="2294"/>
      <c r="AS922" s="2294"/>
      <c r="AT922" s="2295"/>
      <c r="AU922" s="2295"/>
      <c r="AV922" s="2295"/>
      <c r="AW922" s="2295"/>
      <c r="AX922" s="2296"/>
      <c r="AY922" s="2289"/>
      <c r="AZ922" s="2289"/>
      <c r="BA922" s="2289"/>
      <c r="BB922" s="2289"/>
      <c r="BC922" s="2289"/>
      <c r="BD922" s="2289"/>
      <c r="BE922" s="2289"/>
      <c r="BF922" s="2289"/>
      <c r="BG922" s="2289"/>
      <c r="BH922" s="2289"/>
      <c r="BI922" s="2289"/>
      <c r="BJ922" s="2289"/>
      <c r="BK922" s="2289"/>
      <c r="BL922" s="2289"/>
      <c r="BM922" s="2289"/>
      <c r="BN922" s="2289"/>
      <c r="BO922" s="2289"/>
      <c r="BP922" s="2289"/>
      <c r="BQ922" s="2289"/>
      <c r="BR922" s="2289"/>
    </row>
    <row r="923" spans="1:70" ht="15.75" customHeight="1">
      <c r="A923" s="2289"/>
      <c r="B923" s="2289"/>
      <c r="C923" s="2289"/>
      <c r="D923" s="2289"/>
      <c r="E923" s="2289"/>
      <c r="F923" s="2289"/>
      <c r="G923" s="2290"/>
      <c r="H923" s="2289"/>
      <c r="I923" s="2289"/>
      <c r="J923" s="2290"/>
      <c r="K923" s="2289"/>
      <c r="L923" s="2289"/>
      <c r="M923" s="2290"/>
      <c r="N923" s="2290"/>
      <c r="O923" s="2290"/>
      <c r="P923" s="2290"/>
      <c r="Q923" s="2289"/>
      <c r="R923" s="2289"/>
      <c r="S923" s="2289"/>
      <c r="T923" s="2291"/>
      <c r="U923" s="2289"/>
      <c r="V923" s="2289"/>
      <c r="W923" s="2289"/>
      <c r="X923" s="2292"/>
      <c r="Y923" s="2292"/>
      <c r="Z923" s="2289"/>
      <c r="AA923" s="2289"/>
      <c r="AB923" s="2289"/>
      <c r="AC923" s="2289"/>
      <c r="AD923" s="2293"/>
      <c r="AE923" s="2293"/>
      <c r="AF923" s="2293"/>
      <c r="AG923" s="2293"/>
      <c r="AH923" s="2289"/>
      <c r="AI923" s="2289"/>
      <c r="AJ923" s="2294"/>
      <c r="AK923" s="2294"/>
      <c r="AL923" s="2289"/>
      <c r="AM923" s="2289"/>
      <c r="AN923" s="2289"/>
      <c r="AO923" s="2289"/>
      <c r="AP923" s="2289"/>
      <c r="AQ923" s="2289"/>
      <c r="AR923" s="2294"/>
      <c r="AS923" s="2294"/>
      <c r="AT923" s="2295"/>
      <c r="AU923" s="2295"/>
      <c r="AV923" s="2295"/>
      <c r="AW923" s="2295"/>
      <c r="AX923" s="2296"/>
      <c r="AY923" s="2289"/>
      <c r="AZ923" s="2289"/>
      <c r="BA923" s="2289"/>
      <c r="BB923" s="2289"/>
      <c r="BC923" s="2289"/>
      <c r="BD923" s="2289"/>
      <c r="BE923" s="2289"/>
      <c r="BF923" s="2289"/>
      <c r="BG923" s="2289"/>
      <c r="BH923" s="2289"/>
      <c r="BI923" s="2289"/>
      <c r="BJ923" s="2289"/>
      <c r="BK923" s="2289"/>
      <c r="BL923" s="2289"/>
      <c r="BM923" s="2289"/>
      <c r="BN923" s="2289"/>
      <c r="BO923" s="2289"/>
      <c r="BP923" s="2289"/>
      <c r="BQ923" s="2289"/>
      <c r="BR923" s="2289"/>
    </row>
    <row r="924" spans="1:70" ht="15.75" customHeight="1">
      <c r="A924" s="2289"/>
      <c r="B924" s="2289"/>
      <c r="C924" s="2289"/>
      <c r="D924" s="2289"/>
      <c r="E924" s="2289"/>
      <c r="F924" s="2289"/>
      <c r="G924" s="2290"/>
      <c r="H924" s="2289"/>
      <c r="I924" s="2289"/>
      <c r="J924" s="2290"/>
      <c r="K924" s="2289"/>
      <c r="L924" s="2289"/>
      <c r="M924" s="2290"/>
      <c r="N924" s="2290"/>
      <c r="O924" s="2290"/>
      <c r="P924" s="2290"/>
      <c r="Q924" s="2289"/>
      <c r="R924" s="2289"/>
      <c r="S924" s="2289"/>
      <c r="T924" s="2291"/>
      <c r="U924" s="2289"/>
      <c r="V924" s="2289"/>
      <c r="W924" s="2289"/>
      <c r="X924" s="2292"/>
      <c r="Y924" s="2292"/>
      <c r="Z924" s="2289"/>
      <c r="AA924" s="2289"/>
      <c r="AB924" s="2289"/>
      <c r="AC924" s="2289"/>
      <c r="AD924" s="2293"/>
      <c r="AE924" s="2293"/>
      <c r="AF924" s="2293"/>
      <c r="AG924" s="2293"/>
      <c r="AH924" s="2289"/>
      <c r="AI924" s="2289"/>
      <c r="AJ924" s="2294"/>
      <c r="AK924" s="2294"/>
      <c r="AL924" s="2289"/>
      <c r="AM924" s="2289"/>
      <c r="AN924" s="2289"/>
      <c r="AO924" s="2289"/>
      <c r="AP924" s="2289"/>
      <c r="AQ924" s="2289"/>
      <c r="AR924" s="2294"/>
      <c r="AS924" s="2294"/>
      <c r="AT924" s="2295"/>
      <c r="AU924" s="2295"/>
      <c r="AV924" s="2295"/>
      <c r="AW924" s="2295"/>
      <c r="AX924" s="2296"/>
      <c r="AY924" s="2289"/>
      <c r="AZ924" s="2289"/>
      <c r="BA924" s="2289"/>
      <c r="BB924" s="2289"/>
      <c r="BC924" s="2289"/>
      <c r="BD924" s="2289"/>
      <c r="BE924" s="2289"/>
      <c r="BF924" s="2289"/>
      <c r="BG924" s="2289"/>
      <c r="BH924" s="2289"/>
      <c r="BI924" s="2289"/>
      <c r="BJ924" s="2289"/>
      <c r="BK924" s="2289"/>
      <c r="BL924" s="2289"/>
      <c r="BM924" s="2289"/>
      <c r="BN924" s="2289"/>
      <c r="BO924" s="2289"/>
      <c r="BP924" s="2289"/>
      <c r="BQ924" s="2289"/>
      <c r="BR924" s="2289"/>
    </row>
    <row r="925" spans="1:70" ht="15.75" customHeight="1">
      <c r="A925" s="2289"/>
      <c r="B925" s="2289"/>
      <c r="C925" s="2289"/>
      <c r="D925" s="2289"/>
      <c r="E925" s="2289"/>
      <c r="F925" s="2289"/>
      <c r="G925" s="2290"/>
      <c r="H925" s="2289"/>
      <c r="I925" s="2289"/>
      <c r="J925" s="2290"/>
      <c r="K925" s="2289"/>
      <c r="L925" s="2289"/>
      <c r="M925" s="2290"/>
      <c r="N925" s="2290"/>
      <c r="O925" s="2290"/>
      <c r="P925" s="2290"/>
      <c r="Q925" s="2289"/>
      <c r="R925" s="2289"/>
      <c r="S925" s="2289"/>
      <c r="T925" s="2291"/>
      <c r="U925" s="2289"/>
      <c r="V925" s="2289"/>
      <c r="W925" s="2289"/>
      <c r="X925" s="2292"/>
      <c r="Y925" s="2292"/>
      <c r="Z925" s="2289"/>
      <c r="AA925" s="2289"/>
      <c r="AB925" s="2289"/>
      <c r="AC925" s="2289"/>
      <c r="AD925" s="2293"/>
      <c r="AE925" s="2293"/>
      <c r="AF925" s="2293"/>
      <c r="AG925" s="2293"/>
      <c r="AH925" s="2289"/>
      <c r="AI925" s="2289"/>
      <c r="AJ925" s="2294"/>
      <c r="AK925" s="2294"/>
      <c r="AL925" s="2289"/>
      <c r="AM925" s="2289"/>
      <c r="AN925" s="2289"/>
      <c r="AO925" s="2289"/>
      <c r="AP925" s="2289"/>
      <c r="AQ925" s="2289"/>
      <c r="AR925" s="2294"/>
      <c r="AS925" s="2294"/>
      <c r="AT925" s="2295"/>
      <c r="AU925" s="2295"/>
      <c r="AV925" s="2295"/>
      <c r="AW925" s="2295"/>
      <c r="AX925" s="2296"/>
      <c r="AY925" s="2289"/>
      <c r="AZ925" s="2289"/>
      <c r="BA925" s="2289"/>
      <c r="BB925" s="2289"/>
      <c r="BC925" s="2289"/>
      <c r="BD925" s="2289"/>
      <c r="BE925" s="2289"/>
      <c r="BF925" s="2289"/>
      <c r="BG925" s="2289"/>
      <c r="BH925" s="2289"/>
      <c r="BI925" s="2289"/>
      <c r="BJ925" s="2289"/>
      <c r="BK925" s="2289"/>
      <c r="BL925" s="2289"/>
      <c r="BM925" s="2289"/>
      <c r="BN925" s="2289"/>
      <c r="BO925" s="2289"/>
      <c r="BP925" s="2289"/>
      <c r="BQ925" s="2289"/>
      <c r="BR925" s="2289"/>
    </row>
    <row r="926" spans="1:70" ht="15.75" customHeight="1">
      <c r="A926" s="2289"/>
      <c r="B926" s="2289"/>
      <c r="C926" s="2289"/>
      <c r="D926" s="2289"/>
      <c r="E926" s="2289"/>
      <c r="F926" s="2289"/>
      <c r="G926" s="2290"/>
      <c r="H926" s="2289"/>
      <c r="I926" s="2289"/>
      <c r="J926" s="2290"/>
      <c r="K926" s="2289"/>
      <c r="L926" s="2289"/>
      <c r="M926" s="2290"/>
      <c r="N926" s="2290"/>
      <c r="O926" s="2290"/>
      <c r="P926" s="2290"/>
      <c r="Q926" s="2289"/>
      <c r="R926" s="2289"/>
      <c r="S926" s="2289"/>
      <c r="T926" s="2291"/>
      <c r="U926" s="2289"/>
      <c r="V926" s="2289"/>
      <c r="W926" s="2289"/>
      <c r="X926" s="2292"/>
      <c r="Y926" s="2292"/>
      <c r="Z926" s="2289"/>
      <c r="AA926" s="2289"/>
      <c r="AB926" s="2289"/>
      <c r="AC926" s="2289"/>
      <c r="AD926" s="2293"/>
      <c r="AE926" s="2293"/>
      <c r="AF926" s="2293"/>
      <c r="AG926" s="2293"/>
      <c r="AH926" s="2289"/>
      <c r="AI926" s="2289"/>
      <c r="AJ926" s="2294"/>
      <c r="AK926" s="2294"/>
      <c r="AL926" s="2289"/>
      <c r="AM926" s="2289"/>
      <c r="AN926" s="2289"/>
      <c r="AO926" s="2289"/>
      <c r="AP926" s="2289"/>
      <c r="AQ926" s="2289"/>
      <c r="AR926" s="2294"/>
      <c r="AS926" s="2294"/>
      <c r="AT926" s="2295"/>
      <c r="AU926" s="2295"/>
      <c r="AV926" s="2295"/>
      <c r="AW926" s="2295"/>
      <c r="AX926" s="2296"/>
      <c r="AY926" s="2289"/>
      <c r="AZ926" s="2289"/>
      <c r="BA926" s="2289"/>
      <c r="BB926" s="2289"/>
      <c r="BC926" s="2289"/>
      <c r="BD926" s="2289"/>
      <c r="BE926" s="2289"/>
      <c r="BF926" s="2289"/>
      <c r="BG926" s="2289"/>
      <c r="BH926" s="2289"/>
      <c r="BI926" s="2289"/>
      <c r="BJ926" s="2289"/>
      <c r="BK926" s="2289"/>
      <c r="BL926" s="2289"/>
      <c r="BM926" s="2289"/>
      <c r="BN926" s="2289"/>
      <c r="BO926" s="2289"/>
      <c r="BP926" s="2289"/>
      <c r="BQ926" s="2289"/>
      <c r="BR926" s="2289"/>
    </row>
    <row r="927" spans="1:70" ht="15.75" customHeight="1">
      <c r="A927" s="2289"/>
      <c r="B927" s="2289"/>
      <c r="C927" s="2289"/>
      <c r="D927" s="2289"/>
      <c r="E927" s="2289"/>
      <c r="F927" s="2289"/>
      <c r="G927" s="2290"/>
      <c r="H927" s="2289"/>
      <c r="I927" s="2289"/>
      <c r="J927" s="2290"/>
      <c r="K927" s="2289"/>
      <c r="L927" s="2289"/>
      <c r="M927" s="2290"/>
      <c r="N927" s="2290"/>
      <c r="O927" s="2290"/>
      <c r="P927" s="2290"/>
      <c r="Q927" s="2289"/>
      <c r="R927" s="2289"/>
      <c r="S927" s="2289"/>
      <c r="T927" s="2291"/>
      <c r="U927" s="2289"/>
      <c r="V927" s="2289"/>
      <c r="W927" s="2289"/>
      <c r="X927" s="2292"/>
      <c r="Y927" s="2292"/>
      <c r="Z927" s="2289"/>
      <c r="AA927" s="2289"/>
      <c r="AB927" s="2289"/>
      <c r="AC927" s="2289"/>
      <c r="AD927" s="2293"/>
      <c r="AE927" s="2293"/>
      <c r="AF927" s="2293"/>
      <c r="AG927" s="2293"/>
      <c r="AH927" s="2289"/>
      <c r="AI927" s="2289"/>
      <c r="AJ927" s="2294"/>
      <c r="AK927" s="2294"/>
      <c r="AL927" s="2289"/>
      <c r="AM927" s="2289"/>
      <c r="AN927" s="2289"/>
      <c r="AO927" s="2289"/>
      <c r="AP927" s="2289"/>
      <c r="AQ927" s="2289"/>
      <c r="AR927" s="2294"/>
      <c r="AS927" s="2294"/>
      <c r="AT927" s="2295"/>
      <c r="AU927" s="2295"/>
      <c r="AV927" s="2295"/>
      <c r="AW927" s="2295"/>
      <c r="AX927" s="2296"/>
      <c r="AY927" s="2289"/>
      <c r="AZ927" s="2289"/>
      <c r="BA927" s="2289"/>
      <c r="BB927" s="2289"/>
      <c r="BC927" s="2289"/>
      <c r="BD927" s="2289"/>
      <c r="BE927" s="2289"/>
      <c r="BF927" s="2289"/>
      <c r="BG927" s="2289"/>
      <c r="BH927" s="2289"/>
      <c r="BI927" s="2289"/>
      <c r="BJ927" s="2289"/>
      <c r="BK927" s="2289"/>
      <c r="BL927" s="2289"/>
      <c r="BM927" s="2289"/>
      <c r="BN927" s="2289"/>
      <c r="BO927" s="2289"/>
      <c r="BP927" s="2289"/>
      <c r="BQ927" s="2289"/>
      <c r="BR927" s="2289"/>
    </row>
    <row r="928" spans="1:70" ht="15.75" customHeight="1">
      <c r="A928" s="2289"/>
      <c r="B928" s="2289"/>
      <c r="C928" s="2289"/>
      <c r="D928" s="2289"/>
      <c r="E928" s="2289"/>
      <c r="F928" s="2289"/>
      <c r="G928" s="2290"/>
      <c r="H928" s="2289"/>
      <c r="I928" s="2289"/>
      <c r="J928" s="2290"/>
      <c r="K928" s="2289"/>
      <c r="L928" s="2289"/>
      <c r="M928" s="2290"/>
      <c r="N928" s="2290"/>
      <c r="O928" s="2290"/>
      <c r="P928" s="2290"/>
      <c r="Q928" s="2289"/>
      <c r="R928" s="2289"/>
      <c r="S928" s="2289"/>
      <c r="T928" s="2291"/>
      <c r="U928" s="2289"/>
      <c r="V928" s="2289"/>
      <c r="W928" s="2289"/>
      <c r="X928" s="2292"/>
      <c r="Y928" s="2292"/>
      <c r="Z928" s="2289"/>
      <c r="AA928" s="2289"/>
      <c r="AB928" s="2289"/>
      <c r="AC928" s="2289"/>
      <c r="AD928" s="2293"/>
      <c r="AE928" s="2293"/>
      <c r="AF928" s="2293"/>
      <c r="AG928" s="2293"/>
      <c r="AH928" s="2289"/>
      <c r="AI928" s="2289"/>
      <c r="AJ928" s="2294"/>
      <c r="AK928" s="2294"/>
      <c r="AL928" s="2289"/>
      <c r="AM928" s="2289"/>
      <c r="AN928" s="2289"/>
      <c r="AO928" s="2289"/>
      <c r="AP928" s="2289"/>
      <c r="AQ928" s="2289"/>
      <c r="AR928" s="2294"/>
      <c r="AS928" s="2294"/>
      <c r="AT928" s="2295"/>
      <c r="AU928" s="2295"/>
      <c r="AV928" s="2295"/>
      <c r="AW928" s="2295"/>
      <c r="AX928" s="2296"/>
      <c r="AY928" s="2289"/>
      <c r="AZ928" s="2289"/>
      <c r="BA928" s="2289"/>
      <c r="BB928" s="2289"/>
      <c r="BC928" s="2289"/>
      <c r="BD928" s="2289"/>
      <c r="BE928" s="2289"/>
      <c r="BF928" s="2289"/>
      <c r="BG928" s="2289"/>
      <c r="BH928" s="2289"/>
      <c r="BI928" s="2289"/>
      <c r="BJ928" s="2289"/>
      <c r="BK928" s="2289"/>
      <c r="BL928" s="2289"/>
      <c r="BM928" s="2289"/>
      <c r="BN928" s="2289"/>
      <c r="BO928" s="2289"/>
      <c r="BP928" s="2289"/>
      <c r="BQ928" s="2289"/>
      <c r="BR928" s="2289"/>
    </row>
    <row r="929" spans="1:70" ht="15.75" customHeight="1">
      <c r="A929" s="2289"/>
      <c r="B929" s="2289"/>
      <c r="C929" s="2289"/>
      <c r="D929" s="2289"/>
      <c r="E929" s="2289"/>
      <c r="F929" s="2289"/>
      <c r="G929" s="2290"/>
      <c r="H929" s="2289"/>
      <c r="I929" s="2289"/>
      <c r="J929" s="2290"/>
      <c r="K929" s="2289"/>
      <c r="L929" s="2289"/>
      <c r="M929" s="2290"/>
      <c r="N929" s="2290"/>
      <c r="O929" s="2290"/>
      <c r="P929" s="2290"/>
      <c r="Q929" s="2289"/>
      <c r="R929" s="2289"/>
      <c r="S929" s="2289"/>
      <c r="T929" s="2291"/>
      <c r="U929" s="2289"/>
      <c r="V929" s="2289"/>
      <c r="W929" s="2289"/>
      <c r="X929" s="2292"/>
      <c r="Y929" s="2292"/>
      <c r="Z929" s="2289"/>
      <c r="AA929" s="2289"/>
      <c r="AB929" s="2289"/>
      <c r="AC929" s="2289"/>
      <c r="AD929" s="2293"/>
      <c r="AE929" s="2293"/>
      <c r="AF929" s="2293"/>
      <c r="AG929" s="2293"/>
      <c r="AH929" s="2289"/>
      <c r="AI929" s="2289"/>
      <c r="AJ929" s="2294"/>
      <c r="AK929" s="2294"/>
      <c r="AL929" s="2289"/>
      <c r="AM929" s="2289"/>
      <c r="AN929" s="2289"/>
      <c r="AO929" s="2289"/>
      <c r="AP929" s="2289"/>
      <c r="AQ929" s="2289"/>
      <c r="AR929" s="2294"/>
      <c r="AS929" s="2294"/>
      <c r="AT929" s="2295"/>
      <c r="AU929" s="2295"/>
      <c r="AV929" s="2295"/>
      <c r="AW929" s="2295"/>
      <c r="AX929" s="2296"/>
      <c r="AY929" s="2289"/>
      <c r="AZ929" s="2289"/>
      <c r="BA929" s="2289"/>
      <c r="BB929" s="2289"/>
      <c r="BC929" s="2289"/>
      <c r="BD929" s="2289"/>
      <c r="BE929" s="2289"/>
      <c r="BF929" s="2289"/>
      <c r="BG929" s="2289"/>
      <c r="BH929" s="2289"/>
      <c r="BI929" s="2289"/>
      <c r="BJ929" s="2289"/>
      <c r="BK929" s="2289"/>
      <c r="BL929" s="2289"/>
      <c r="BM929" s="2289"/>
      <c r="BN929" s="2289"/>
      <c r="BO929" s="2289"/>
      <c r="BP929" s="2289"/>
      <c r="BQ929" s="2289"/>
      <c r="BR929" s="2289"/>
    </row>
    <row r="930" spans="1:70" ht="15.75" customHeight="1">
      <c r="A930" s="2289"/>
      <c r="B930" s="2289"/>
      <c r="C930" s="2289"/>
      <c r="D930" s="2289"/>
      <c r="E930" s="2289"/>
      <c r="F930" s="2289"/>
      <c r="G930" s="2290"/>
      <c r="H930" s="2289"/>
      <c r="I930" s="2289"/>
      <c r="J930" s="2290"/>
      <c r="K930" s="2289"/>
      <c r="L930" s="2289"/>
      <c r="M930" s="2290"/>
      <c r="N930" s="2290"/>
      <c r="O930" s="2290"/>
      <c r="P930" s="2290"/>
      <c r="Q930" s="2289"/>
      <c r="R930" s="2289"/>
      <c r="S930" s="2289"/>
      <c r="T930" s="2291"/>
      <c r="U930" s="2289"/>
      <c r="V930" s="2289"/>
      <c r="W930" s="2289"/>
      <c r="X930" s="2292"/>
      <c r="Y930" s="2292"/>
      <c r="Z930" s="2289"/>
      <c r="AA930" s="2289"/>
      <c r="AB930" s="2289"/>
      <c r="AC930" s="2289"/>
      <c r="AD930" s="2293"/>
      <c r="AE930" s="2293"/>
      <c r="AF930" s="2293"/>
      <c r="AG930" s="2293"/>
      <c r="AH930" s="2289"/>
      <c r="AI930" s="2289"/>
      <c r="AJ930" s="2294"/>
      <c r="AK930" s="2294"/>
      <c r="AL930" s="2289"/>
      <c r="AM930" s="2289"/>
      <c r="AN930" s="2289"/>
      <c r="AO930" s="2289"/>
      <c r="AP930" s="2289"/>
      <c r="AQ930" s="2289"/>
      <c r="AR930" s="2294"/>
      <c r="AS930" s="2294"/>
      <c r="AT930" s="2295"/>
      <c r="AU930" s="2295"/>
      <c r="AV930" s="2295"/>
      <c r="AW930" s="2295"/>
      <c r="AX930" s="2296"/>
      <c r="AY930" s="2289"/>
      <c r="AZ930" s="2289"/>
      <c r="BA930" s="2289"/>
      <c r="BB930" s="2289"/>
      <c r="BC930" s="2289"/>
      <c r="BD930" s="2289"/>
      <c r="BE930" s="2289"/>
      <c r="BF930" s="2289"/>
      <c r="BG930" s="2289"/>
      <c r="BH930" s="2289"/>
      <c r="BI930" s="2289"/>
      <c r="BJ930" s="2289"/>
      <c r="BK930" s="2289"/>
      <c r="BL930" s="2289"/>
      <c r="BM930" s="2289"/>
      <c r="BN930" s="2289"/>
      <c r="BO930" s="2289"/>
      <c r="BP930" s="2289"/>
      <c r="BQ930" s="2289"/>
      <c r="BR930" s="2289"/>
    </row>
    <row r="931" spans="1:70" ht="15.75" customHeight="1">
      <c r="A931" s="2289"/>
      <c r="B931" s="2289"/>
      <c r="C931" s="2289"/>
      <c r="D931" s="2289"/>
      <c r="E931" s="2289"/>
      <c r="F931" s="2289"/>
      <c r="G931" s="2290"/>
      <c r="H931" s="2289"/>
      <c r="I931" s="2289"/>
      <c r="J931" s="2290"/>
      <c r="K931" s="2289"/>
      <c r="L931" s="2289"/>
      <c r="M931" s="2290"/>
      <c r="N931" s="2290"/>
      <c r="O931" s="2290"/>
      <c r="P931" s="2290"/>
      <c r="Q931" s="2289"/>
      <c r="R931" s="2289"/>
      <c r="S931" s="2289"/>
      <c r="T931" s="2291"/>
      <c r="U931" s="2289"/>
      <c r="V931" s="2289"/>
      <c r="W931" s="2289"/>
      <c r="X931" s="2292"/>
      <c r="Y931" s="2292"/>
      <c r="Z931" s="2289"/>
      <c r="AA931" s="2289"/>
      <c r="AB931" s="2289"/>
      <c r="AC931" s="2289"/>
      <c r="AD931" s="2293"/>
      <c r="AE931" s="2293"/>
      <c r="AF931" s="2293"/>
      <c r="AG931" s="2293"/>
      <c r="AH931" s="2289"/>
      <c r="AI931" s="2289"/>
      <c r="AJ931" s="2294"/>
      <c r="AK931" s="2294"/>
      <c r="AL931" s="2289"/>
      <c r="AM931" s="2289"/>
      <c r="AN931" s="2289"/>
      <c r="AO931" s="2289"/>
      <c r="AP931" s="2289"/>
      <c r="AQ931" s="2289"/>
      <c r="AR931" s="2294"/>
      <c r="AS931" s="2294"/>
      <c r="AT931" s="2295"/>
      <c r="AU931" s="2295"/>
      <c r="AV931" s="2295"/>
      <c r="AW931" s="2295"/>
      <c r="AX931" s="2296"/>
      <c r="AY931" s="2289"/>
      <c r="AZ931" s="2289"/>
      <c r="BA931" s="2289"/>
      <c r="BB931" s="2289"/>
      <c r="BC931" s="2289"/>
      <c r="BD931" s="2289"/>
      <c r="BE931" s="2289"/>
      <c r="BF931" s="2289"/>
      <c r="BG931" s="2289"/>
      <c r="BH931" s="2289"/>
      <c r="BI931" s="2289"/>
      <c r="BJ931" s="2289"/>
      <c r="BK931" s="2289"/>
      <c r="BL931" s="2289"/>
      <c r="BM931" s="2289"/>
      <c r="BN931" s="2289"/>
      <c r="BO931" s="2289"/>
      <c r="BP931" s="2289"/>
      <c r="BQ931" s="2289"/>
      <c r="BR931" s="2289"/>
    </row>
    <row r="932" spans="1:70" ht="15.75" customHeight="1">
      <c r="A932" s="2289"/>
      <c r="B932" s="2289"/>
      <c r="C932" s="2289"/>
      <c r="D932" s="2289"/>
      <c r="E932" s="2289"/>
      <c r="F932" s="2289"/>
      <c r="G932" s="2290"/>
      <c r="H932" s="2289"/>
      <c r="I932" s="2289"/>
      <c r="J932" s="2290"/>
      <c r="K932" s="2289"/>
      <c r="L932" s="2289"/>
      <c r="M932" s="2290"/>
      <c r="N932" s="2290"/>
      <c r="O932" s="2290"/>
      <c r="P932" s="2290"/>
      <c r="Q932" s="2289"/>
      <c r="R932" s="2289"/>
      <c r="S932" s="2289"/>
      <c r="T932" s="2291"/>
      <c r="U932" s="2289"/>
      <c r="V932" s="2289"/>
      <c r="W932" s="2289"/>
      <c r="X932" s="2292"/>
      <c r="Y932" s="2292"/>
      <c r="Z932" s="2289"/>
      <c r="AA932" s="2289"/>
      <c r="AB932" s="2289"/>
      <c r="AC932" s="2289"/>
      <c r="AD932" s="2293"/>
      <c r="AE932" s="2293"/>
      <c r="AF932" s="2293"/>
      <c r="AG932" s="2293"/>
      <c r="AH932" s="2289"/>
      <c r="AI932" s="2289"/>
      <c r="AJ932" s="2294"/>
      <c r="AK932" s="2294"/>
      <c r="AL932" s="2289"/>
      <c r="AM932" s="2289"/>
      <c r="AN932" s="2289"/>
      <c r="AO932" s="2289"/>
      <c r="AP932" s="2289"/>
      <c r="AQ932" s="2289"/>
      <c r="AR932" s="2294"/>
      <c r="AS932" s="2294"/>
      <c r="AT932" s="2295"/>
      <c r="AU932" s="2295"/>
      <c r="AV932" s="2295"/>
      <c r="AW932" s="2295"/>
      <c r="AX932" s="2296"/>
      <c r="AY932" s="2289"/>
      <c r="AZ932" s="2289"/>
      <c r="BA932" s="2289"/>
      <c r="BB932" s="2289"/>
      <c r="BC932" s="2289"/>
      <c r="BD932" s="2289"/>
      <c r="BE932" s="2289"/>
      <c r="BF932" s="2289"/>
      <c r="BG932" s="2289"/>
      <c r="BH932" s="2289"/>
      <c r="BI932" s="2289"/>
      <c r="BJ932" s="2289"/>
      <c r="BK932" s="2289"/>
      <c r="BL932" s="2289"/>
      <c r="BM932" s="2289"/>
      <c r="BN932" s="2289"/>
      <c r="BO932" s="2289"/>
      <c r="BP932" s="2289"/>
      <c r="BQ932" s="2289"/>
      <c r="BR932" s="2289"/>
    </row>
    <row r="933" spans="1:70" ht="15.75" customHeight="1">
      <c r="A933" s="2289"/>
      <c r="B933" s="2289"/>
      <c r="C933" s="2289"/>
      <c r="D933" s="2289"/>
      <c r="E933" s="2289"/>
      <c r="F933" s="2289"/>
      <c r="G933" s="2290"/>
      <c r="H933" s="2289"/>
      <c r="I933" s="2289"/>
      <c r="J933" s="2290"/>
      <c r="K933" s="2289"/>
      <c r="L933" s="2289"/>
      <c r="M933" s="2290"/>
      <c r="N933" s="2290"/>
      <c r="O933" s="2290"/>
      <c r="P933" s="2290"/>
      <c r="Q933" s="2289"/>
      <c r="R933" s="2289"/>
      <c r="S933" s="2289"/>
      <c r="T933" s="2291"/>
      <c r="U933" s="2289"/>
      <c r="V933" s="2289"/>
      <c r="W933" s="2289"/>
      <c r="X933" s="2292"/>
      <c r="Y933" s="2292"/>
      <c r="Z933" s="2289"/>
      <c r="AA933" s="2289"/>
      <c r="AB933" s="2289"/>
      <c r="AC933" s="2289"/>
      <c r="AD933" s="2293"/>
      <c r="AE933" s="2293"/>
      <c r="AF933" s="2293"/>
      <c r="AG933" s="2293"/>
      <c r="AH933" s="2289"/>
      <c r="AI933" s="2289"/>
      <c r="AJ933" s="2294"/>
      <c r="AK933" s="2294"/>
      <c r="AL933" s="2289"/>
      <c r="AM933" s="2289"/>
      <c r="AN933" s="2289"/>
      <c r="AO933" s="2289"/>
      <c r="AP933" s="2289"/>
      <c r="AQ933" s="2289"/>
      <c r="AR933" s="2294"/>
      <c r="AS933" s="2294"/>
      <c r="AT933" s="2295"/>
      <c r="AU933" s="2295"/>
      <c r="AV933" s="2295"/>
      <c r="AW933" s="2295"/>
      <c r="AX933" s="2296"/>
      <c r="AY933" s="2289"/>
      <c r="AZ933" s="2289"/>
      <c r="BA933" s="2289"/>
      <c r="BB933" s="2289"/>
      <c r="BC933" s="2289"/>
      <c r="BD933" s="2289"/>
      <c r="BE933" s="2289"/>
      <c r="BF933" s="2289"/>
      <c r="BG933" s="2289"/>
      <c r="BH933" s="2289"/>
      <c r="BI933" s="2289"/>
      <c r="BJ933" s="2289"/>
      <c r="BK933" s="2289"/>
      <c r="BL933" s="2289"/>
      <c r="BM933" s="2289"/>
      <c r="BN933" s="2289"/>
      <c r="BO933" s="2289"/>
      <c r="BP933" s="2289"/>
      <c r="BQ933" s="2289"/>
      <c r="BR933" s="2289"/>
    </row>
    <row r="934" spans="1:70" ht="15.75" customHeight="1">
      <c r="A934" s="2289"/>
      <c r="B934" s="2289"/>
      <c r="C934" s="2289"/>
      <c r="D934" s="2289"/>
      <c r="E934" s="2289"/>
      <c r="F934" s="2289"/>
      <c r="G934" s="2290"/>
      <c r="H934" s="2289"/>
      <c r="I934" s="2289"/>
      <c r="J934" s="2290"/>
      <c r="K934" s="2289"/>
      <c r="L934" s="2289"/>
      <c r="M934" s="2290"/>
      <c r="N934" s="2290"/>
      <c r="O934" s="2290"/>
      <c r="P934" s="2290"/>
      <c r="Q934" s="2289"/>
      <c r="R934" s="2289"/>
      <c r="S934" s="2289"/>
      <c r="T934" s="2291"/>
      <c r="U934" s="2289"/>
      <c r="V934" s="2289"/>
      <c r="W934" s="2289"/>
      <c r="X934" s="2292"/>
      <c r="Y934" s="2292"/>
      <c r="Z934" s="2289"/>
      <c r="AA934" s="2289"/>
      <c r="AB934" s="2289"/>
      <c r="AC934" s="2289"/>
      <c r="AD934" s="2293"/>
      <c r="AE934" s="2293"/>
      <c r="AF934" s="2293"/>
      <c r="AG934" s="2293"/>
      <c r="AH934" s="2289"/>
      <c r="AI934" s="2289"/>
      <c r="AJ934" s="2294"/>
      <c r="AK934" s="2294"/>
      <c r="AL934" s="2289"/>
      <c r="AM934" s="2289"/>
      <c r="AN934" s="2289"/>
      <c r="AO934" s="2289"/>
      <c r="AP934" s="2289"/>
      <c r="AQ934" s="2289"/>
      <c r="AR934" s="2294"/>
      <c r="AS934" s="2294"/>
      <c r="AT934" s="2295"/>
      <c r="AU934" s="2295"/>
      <c r="AV934" s="2295"/>
      <c r="AW934" s="2295"/>
      <c r="AX934" s="2296"/>
      <c r="AY934" s="2289"/>
      <c r="AZ934" s="2289"/>
      <c r="BA934" s="2289"/>
      <c r="BB934" s="2289"/>
      <c r="BC934" s="2289"/>
      <c r="BD934" s="2289"/>
      <c r="BE934" s="2289"/>
      <c r="BF934" s="2289"/>
      <c r="BG934" s="2289"/>
      <c r="BH934" s="2289"/>
      <c r="BI934" s="2289"/>
      <c r="BJ934" s="2289"/>
      <c r="BK934" s="2289"/>
      <c r="BL934" s="2289"/>
      <c r="BM934" s="2289"/>
      <c r="BN934" s="2289"/>
      <c r="BO934" s="2289"/>
      <c r="BP934" s="2289"/>
      <c r="BQ934" s="2289"/>
      <c r="BR934" s="2289"/>
    </row>
    <row r="935" spans="1:70" ht="15.75" customHeight="1">
      <c r="A935" s="2289"/>
      <c r="B935" s="2289"/>
      <c r="C935" s="2289"/>
      <c r="D935" s="2289"/>
      <c r="E935" s="2289"/>
      <c r="F935" s="2289"/>
      <c r="G935" s="2290"/>
      <c r="H935" s="2289"/>
      <c r="I935" s="2289"/>
      <c r="J935" s="2290"/>
      <c r="K935" s="2289"/>
      <c r="L935" s="2289"/>
      <c r="M935" s="2290"/>
      <c r="N935" s="2290"/>
      <c r="O935" s="2290"/>
      <c r="P935" s="2290"/>
      <c r="Q935" s="2289"/>
      <c r="R935" s="2289"/>
      <c r="S935" s="2289"/>
      <c r="T935" s="2291"/>
      <c r="U935" s="2289"/>
      <c r="V935" s="2289"/>
      <c r="W935" s="2289"/>
      <c r="X935" s="2292"/>
      <c r="Y935" s="2292"/>
      <c r="Z935" s="2289"/>
      <c r="AA935" s="2289"/>
      <c r="AB935" s="2289"/>
      <c r="AC935" s="2289"/>
      <c r="AD935" s="2293"/>
      <c r="AE935" s="2293"/>
      <c r="AF935" s="2293"/>
      <c r="AG935" s="2293"/>
      <c r="AH935" s="2289"/>
      <c r="AI935" s="2289"/>
      <c r="AJ935" s="2294"/>
      <c r="AK935" s="2294"/>
      <c r="AL935" s="2289"/>
      <c r="AM935" s="2289"/>
      <c r="AN935" s="2289"/>
      <c r="AO935" s="2289"/>
      <c r="AP935" s="2289"/>
      <c r="AQ935" s="2289"/>
      <c r="AR935" s="2294"/>
      <c r="AS935" s="2294"/>
      <c r="AT935" s="2295"/>
      <c r="AU935" s="2295"/>
      <c r="AV935" s="2295"/>
      <c r="AW935" s="2295"/>
      <c r="AX935" s="2296"/>
      <c r="AY935" s="2289"/>
      <c r="AZ935" s="2289"/>
      <c r="BA935" s="2289"/>
      <c r="BB935" s="2289"/>
      <c r="BC935" s="2289"/>
      <c r="BD935" s="2289"/>
      <c r="BE935" s="2289"/>
      <c r="BF935" s="2289"/>
      <c r="BG935" s="2289"/>
      <c r="BH935" s="2289"/>
      <c r="BI935" s="2289"/>
      <c r="BJ935" s="2289"/>
      <c r="BK935" s="2289"/>
      <c r="BL935" s="2289"/>
      <c r="BM935" s="2289"/>
      <c r="BN935" s="2289"/>
      <c r="BO935" s="2289"/>
      <c r="BP935" s="2289"/>
      <c r="BQ935" s="2289"/>
      <c r="BR935" s="2289"/>
    </row>
    <row r="936" spans="1:70" ht="15.75" customHeight="1">
      <c r="A936" s="2289"/>
      <c r="B936" s="2289"/>
      <c r="C936" s="2289"/>
      <c r="D936" s="2289"/>
      <c r="E936" s="2289"/>
      <c r="F936" s="2289"/>
      <c r="G936" s="2290"/>
      <c r="H936" s="2289"/>
      <c r="I936" s="2289"/>
      <c r="J936" s="2290"/>
      <c r="K936" s="2289"/>
      <c r="L936" s="2289"/>
      <c r="M936" s="2290"/>
      <c r="N936" s="2290"/>
      <c r="O936" s="2290"/>
      <c r="P936" s="2290"/>
      <c r="Q936" s="2289"/>
      <c r="R936" s="2289"/>
      <c r="S936" s="2289"/>
      <c r="T936" s="2291"/>
      <c r="U936" s="2289"/>
      <c r="V936" s="2289"/>
      <c r="W936" s="2289"/>
      <c r="X936" s="2292"/>
      <c r="Y936" s="2292"/>
      <c r="Z936" s="2289"/>
      <c r="AA936" s="2289"/>
      <c r="AB936" s="2289"/>
      <c r="AC936" s="2289"/>
      <c r="AD936" s="2293"/>
      <c r="AE936" s="2293"/>
      <c r="AF936" s="2293"/>
      <c r="AG936" s="2293"/>
      <c r="AH936" s="2289"/>
      <c r="AI936" s="2289"/>
      <c r="AJ936" s="2294"/>
      <c r="AK936" s="2294"/>
      <c r="AL936" s="2289"/>
      <c r="AM936" s="2289"/>
      <c r="AN936" s="2289"/>
      <c r="AO936" s="2289"/>
      <c r="AP936" s="2289"/>
      <c r="AQ936" s="2289"/>
      <c r="AR936" s="2294"/>
      <c r="AS936" s="2294"/>
      <c r="AT936" s="2295"/>
      <c r="AU936" s="2295"/>
      <c r="AV936" s="2295"/>
      <c r="AW936" s="2295"/>
      <c r="AX936" s="2296"/>
      <c r="AY936" s="2289"/>
      <c r="AZ936" s="2289"/>
      <c r="BA936" s="2289"/>
      <c r="BB936" s="2289"/>
      <c r="BC936" s="2289"/>
      <c r="BD936" s="2289"/>
      <c r="BE936" s="2289"/>
      <c r="BF936" s="2289"/>
      <c r="BG936" s="2289"/>
      <c r="BH936" s="2289"/>
      <c r="BI936" s="2289"/>
      <c r="BJ936" s="2289"/>
      <c r="BK936" s="2289"/>
      <c r="BL936" s="2289"/>
      <c r="BM936" s="2289"/>
      <c r="BN936" s="2289"/>
      <c r="BO936" s="2289"/>
      <c r="BP936" s="2289"/>
      <c r="BQ936" s="2289"/>
      <c r="BR936" s="2289"/>
    </row>
    <row r="937" spans="1:70" ht="15.75" customHeight="1">
      <c r="A937" s="2289"/>
      <c r="B937" s="2289"/>
      <c r="C937" s="2289"/>
      <c r="D937" s="2289"/>
      <c r="E937" s="2289"/>
      <c r="F937" s="2289"/>
      <c r="G937" s="2290"/>
      <c r="H937" s="2289"/>
      <c r="I937" s="2289"/>
      <c r="J937" s="2290"/>
      <c r="K937" s="2289"/>
      <c r="L937" s="2289"/>
      <c r="M937" s="2290"/>
      <c r="N937" s="2290"/>
      <c r="O937" s="2290"/>
      <c r="P937" s="2290"/>
      <c r="Q937" s="2289"/>
      <c r="R937" s="2289"/>
      <c r="S937" s="2289"/>
      <c r="T937" s="2291"/>
      <c r="U937" s="2289"/>
      <c r="V937" s="2289"/>
      <c r="W937" s="2289"/>
      <c r="X937" s="2292"/>
      <c r="Y937" s="2292"/>
      <c r="Z937" s="2289"/>
      <c r="AA937" s="2289"/>
      <c r="AB937" s="2289"/>
      <c r="AC937" s="2289"/>
      <c r="AD937" s="2293"/>
      <c r="AE937" s="2293"/>
      <c r="AF937" s="2293"/>
      <c r="AG937" s="2293"/>
      <c r="AH937" s="2289"/>
      <c r="AI937" s="2289"/>
      <c r="AJ937" s="2294"/>
      <c r="AK937" s="2294"/>
      <c r="AL937" s="2289"/>
      <c r="AM937" s="2289"/>
      <c r="AN937" s="2289"/>
      <c r="AO937" s="2289"/>
      <c r="AP937" s="2289"/>
      <c r="AQ937" s="2289"/>
      <c r="AR937" s="2294"/>
      <c r="AS937" s="2294"/>
      <c r="AT937" s="2295"/>
      <c r="AU937" s="2295"/>
      <c r="AV937" s="2295"/>
      <c r="AW937" s="2295"/>
      <c r="AX937" s="2296"/>
      <c r="AY937" s="2289"/>
      <c r="AZ937" s="2289"/>
      <c r="BA937" s="2289"/>
      <c r="BB937" s="2289"/>
      <c r="BC937" s="2289"/>
      <c r="BD937" s="2289"/>
      <c r="BE937" s="2289"/>
      <c r="BF937" s="2289"/>
      <c r="BG937" s="2289"/>
      <c r="BH937" s="2289"/>
      <c r="BI937" s="2289"/>
      <c r="BJ937" s="2289"/>
      <c r="BK937" s="2289"/>
      <c r="BL937" s="2289"/>
      <c r="BM937" s="2289"/>
      <c r="BN937" s="2289"/>
      <c r="BO937" s="2289"/>
      <c r="BP937" s="2289"/>
      <c r="BQ937" s="2289"/>
      <c r="BR937" s="2289"/>
    </row>
    <row r="938" spans="1:70" ht="15.75" customHeight="1">
      <c r="A938" s="2289"/>
      <c r="B938" s="2289"/>
      <c r="C938" s="2289"/>
      <c r="D938" s="2289"/>
      <c r="E938" s="2289"/>
      <c r="F938" s="2289"/>
      <c r="G938" s="2290"/>
      <c r="H938" s="2289"/>
      <c r="I938" s="2289"/>
      <c r="J938" s="2290"/>
      <c r="K938" s="2289"/>
      <c r="L938" s="2289"/>
      <c r="M938" s="2290"/>
      <c r="N938" s="2290"/>
      <c r="O938" s="2290"/>
      <c r="P938" s="2290"/>
      <c r="Q938" s="2289"/>
      <c r="R938" s="2289"/>
      <c r="S938" s="2289"/>
      <c r="T938" s="2291"/>
      <c r="U938" s="2289"/>
      <c r="V938" s="2289"/>
      <c r="W938" s="2289"/>
      <c r="X938" s="2292"/>
      <c r="Y938" s="2292"/>
      <c r="Z938" s="2289"/>
      <c r="AA938" s="2289"/>
      <c r="AB938" s="2289"/>
      <c r="AC938" s="2289"/>
      <c r="AD938" s="2293"/>
      <c r="AE938" s="2293"/>
      <c r="AF938" s="2293"/>
      <c r="AG938" s="2293"/>
      <c r="AH938" s="2289"/>
      <c r="AI938" s="2289"/>
      <c r="AJ938" s="2294"/>
      <c r="AK938" s="2294"/>
      <c r="AL938" s="2289"/>
      <c r="AM938" s="2289"/>
      <c r="AN938" s="2289"/>
      <c r="AO938" s="2289"/>
      <c r="AP938" s="2289"/>
      <c r="AQ938" s="2289"/>
      <c r="AR938" s="2294"/>
      <c r="AS938" s="2294"/>
      <c r="AT938" s="2295"/>
      <c r="AU938" s="2295"/>
      <c r="AV938" s="2295"/>
      <c r="AW938" s="2295"/>
      <c r="AX938" s="2296"/>
      <c r="AY938" s="2289"/>
      <c r="AZ938" s="2289"/>
      <c r="BA938" s="2289"/>
      <c r="BB938" s="2289"/>
      <c r="BC938" s="2289"/>
      <c r="BD938" s="2289"/>
      <c r="BE938" s="2289"/>
      <c r="BF938" s="2289"/>
      <c r="BG938" s="2289"/>
      <c r="BH938" s="2289"/>
      <c r="BI938" s="2289"/>
      <c r="BJ938" s="2289"/>
      <c r="BK938" s="2289"/>
      <c r="BL938" s="2289"/>
      <c r="BM938" s="2289"/>
      <c r="BN938" s="2289"/>
      <c r="BO938" s="2289"/>
      <c r="BP938" s="2289"/>
      <c r="BQ938" s="2289"/>
      <c r="BR938" s="2289"/>
    </row>
    <row r="939" spans="1:70" ht="15.75" customHeight="1">
      <c r="A939" s="2289"/>
      <c r="B939" s="2289"/>
      <c r="C939" s="2289"/>
      <c r="D939" s="2289"/>
      <c r="E939" s="2289"/>
      <c r="F939" s="2289"/>
      <c r="G939" s="2290"/>
      <c r="H939" s="2289"/>
      <c r="I939" s="2289"/>
      <c r="J939" s="2290"/>
      <c r="K939" s="2289"/>
      <c r="L939" s="2289"/>
      <c r="M939" s="2290"/>
      <c r="N939" s="2290"/>
      <c r="O939" s="2290"/>
      <c r="P939" s="2290"/>
      <c r="Q939" s="2289"/>
      <c r="R939" s="2289"/>
      <c r="S939" s="2289"/>
      <c r="T939" s="2291"/>
      <c r="U939" s="2289"/>
      <c r="V939" s="2289"/>
      <c r="W939" s="2289"/>
      <c r="X939" s="2292"/>
      <c r="Y939" s="2292"/>
      <c r="Z939" s="2289"/>
      <c r="AA939" s="2289"/>
      <c r="AB939" s="2289"/>
      <c r="AC939" s="2289"/>
      <c r="AD939" s="2293"/>
      <c r="AE939" s="2293"/>
      <c r="AF939" s="2293"/>
      <c r="AG939" s="2293"/>
      <c r="AH939" s="2289"/>
      <c r="AI939" s="2289"/>
      <c r="AJ939" s="2294"/>
      <c r="AK939" s="2294"/>
      <c r="AL939" s="2289"/>
      <c r="AM939" s="2289"/>
      <c r="AN939" s="2289"/>
      <c r="AO939" s="2289"/>
      <c r="AP939" s="2289"/>
      <c r="AQ939" s="2289"/>
      <c r="AR939" s="2294"/>
      <c r="AS939" s="2294"/>
      <c r="AT939" s="2295"/>
      <c r="AU939" s="2295"/>
      <c r="AV939" s="2295"/>
      <c r="AW939" s="2295"/>
      <c r="AX939" s="2296"/>
      <c r="AY939" s="2289"/>
      <c r="AZ939" s="2289"/>
      <c r="BA939" s="2289"/>
      <c r="BB939" s="2289"/>
      <c r="BC939" s="2289"/>
      <c r="BD939" s="2289"/>
      <c r="BE939" s="2289"/>
      <c r="BF939" s="2289"/>
      <c r="BG939" s="2289"/>
      <c r="BH939" s="2289"/>
      <c r="BI939" s="2289"/>
      <c r="BJ939" s="2289"/>
      <c r="BK939" s="2289"/>
      <c r="BL939" s="2289"/>
      <c r="BM939" s="2289"/>
      <c r="BN939" s="2289"/>
      <c r="BO939" s="2289"/>
      <c r="BP939" s="2289"/>
      <c r="BQ939" s="2289"/>
      <c r="BR939" s="2289"/>
    </row>
    <row r="940" spans="1:70" ht="15.75" customHeight="1">
      <c r="A940" s="2289"/>
      <c r="B940" s="2289"/>
      <c r="C940" s="2289"/>
      <c r="D940" s="2289"/>
      <c r="E940" s="2289"/>
      <c r="F940" s="2289"/>
      <c r="G940" s="2290"/>
      <c r="H940" s="2289"/>
      <c r="I940" s="2289"/>
      <c r="J940" s="2290"/>
      <c r="K940" s="2289"/>
      <c r="L940" s="2289"/>
      <c r="M940" s="2290"/>
      <c r="N940" s="2290"/>
      <c r="O940" s="2290"/>
      <c r="P940" s="2290"/>
      <c r="Q940" s="2289"/>
      <c r="R940" s="2289"/>
      <c r="S940" s="2289"/>
      <c r="T940" s="2291"/>
      <c r="U940" s="2289"/>
      <c r="V940" s="2289"/>
      <c r="W940" s="2289"/>
      <c r="X940" s="2292"/>
      <c r="Y940" s="2292"/>
      <c r="Z940" s="2289"/>
      <c r="AA940" s="2289"/>
      <c r="AB940" s="2289"/>
      <c r="AC940" s="2289"/>
      <c r="AD940" s="2293"/>
      <c r="AE940" s="2293"/>
      <c r="AF940" s="2293"/>
      <c r="AG940" s="2293"/>
      <c r="AH940" s="2289"/>
      <c r="AI940" s="2289"/>
      <c r="AJ940" s="2294"/>
      <c r="AK940" s="2294"/>
      <c r="AL940" s="2289"/>
      <c r="AM940" s="2289"/>
      <c r="AN940" s="2289"/>
      <c r="AO940" s="2289"/>
      <c r="AP940" s="2289"/>
      <c r="AQ940" s="2289"/>
      <c r="AR940" s="2294"/>
      <c r="AS940" s="2294"/>
      <c r="AT940" s="2295"/>
      <c r="AU940" s="2295"/>
      <c r="AV940" s="2295"/>
      <c r="AW940" s="2295"/>
      <c r="AX940" s="2296"/>
      <c r="AY940" s="2289"/>
      <c r="AZ940" s="2289"/>
      <c r="BA940" s="2289"/>
      <c r="BB940" s="2289"/>
      <c r="BC940" s="2289"/>
      <c r="BD940" s="2289"/>
      <c r="BE940" s="2289"/>
      <c r="BF940" s="2289"/>
      <c r="BG940" s="2289"/>
      <c r="BH940" s="2289"/>
      <c r="BI940" s="2289"/>
      <c r="BJ940" s="2289"/>
      <c r="BK940" s="2289"/>
      <c r="BL940" s="2289"/>
      <c r="BM940" s="2289"/>
      <c r="BN940" s="2289"/>
      <c r="BO940" s="2289"/>
      <c r="BP940" s="2289"/>
      <c r="BQ940" s="2289"/>
      <c r="BR940" s="2289"/>
    </row>
    <row r="941" spans="1:70" ht="15.75" customHeight="1">
      <c r="A941" s="2289"/>
      <c r="B941" s="2289"/>
      <c r="C941" s="2289"/>
      <c r="D941" s="2289"/>
      <c r="E941" s="2289"/>
      <c r="F941" s="2289"/>
      <c r="G941" s="2290"/>
      <c r="H941" s="2289"/>
      <c r="I941" s="2289"/>
      <c r="J941" s="2290"/>
      <c r="K941" s="2289"/>
      <c r="L941" s="2289"/>
      <c r="M941" s="2290"/>
      <c r="N941" s="2290"/>
      <c r="O941" s="2290"/>
      <c r="P941" s="2290"/>
      <c r="Q941" s="2289"/>
      <c r="R941" s="2289"/>
      <c r="S941" s="2289"/>
      <c r="T941" s="2291"/>
      <c r="U941" s="2289"/>
      <c r="V941" s="2289"/>
      <c r="W941" s="2289"/>
      <c r="X941" s="2292"/>
      <c r="Y941" s="2292"/>
      <c r="Z941" s="2289"/>
      <c r="AA941" s="2289"/>
      <c r="AB941" s="2289"/>
      <c r="AC941" s="2289"/>
      <c r="AD941" s="2293"/>
      <c r="AE941" s="2293"/>
      <c r="AF941" s="2293"/>
      <c r="AG941" s="2293"/>
      <c r="AH941" s="2289"/>
      <c r="AI941" s="2289"/>
      <c r="AJ941" s="2294"/>
      <c r="AK941" s="2294"/>
      <c r="AL941" s="2289"/>
      <c r="AM941" s="2289"/>
      <c r="AN941" s="2289"/>
      <c r="AO941" s="2289"/>
      <c r="AP941" s="2289"/>
      <c r="AQ941" s="2289"/>
      <c r="AR941" s="2294"/>
      <c r="AS941" s="2294"/>
      <c r="AT941" s="2295"/>
      <c r="AU941" s="2295"/>
      <c r="AV941" s="2295"/>
      <c r="AW941" s="2295"/>
      <c r="AX941" s="2296"/>
      <c r="AY941" s="2289"/>
      <c r="AZ941" s="2289"/>
      <c r="BA941" s="2289"/>
      <c r="BB941" s="2289"/>
      <c r="BC941" s="2289"/>
      <c r="BD941" s="2289"/>
      <c r="BE941" s="2289"/>
      <c r="BF941" s="2289"/>
      <c r="BG941" s="2289"/>
      <c r="BH941" s="2289"/>
      <c r="BI941" s="2289"/>
      <c r="BJ941" s="2289"/>
      <c r="BK941" s="2289"/>
      <c r="BL941" s="2289"/>
      <c r="BM941" s="2289"/>
      <c r="BN941" s="2289"/>
      <c r="BO941" s="2289"/>
      <c r="BP941" s="2289"/>
      <c r="BQ941" s="2289"/>
      <c r="BR941" s="2289"/>
    </row>
    <row r="942" spans="1:70" ht="15.75" customHeight="1">
      <c r="A942" s="2289"/>
      <c r="B942" s="2289"/>
      <c r="C942" s="2289"/>
      <c r="D942" s="2289"/>
      <c r="E942" s="2289"/>
      <c r="F942" s="2289"/>
      <c r="G942" s="2290"/>
      <c r="H942" s="2289"/>
      <c r="I942" s="2289"/>
      <c r="J942" s="2290"/>
      <c r="K942" s="2289"/>
      <c r="L942" s="2289"/>
      <c r="M942" s="2290"/>
      <c r="N942" s="2290"/>
      <c r="O942" s="2290"/>
      <c r="P942" s="2290"/>
      <c r="Q942" s="2289"/>
      <c r="R942" s="2289"/>
      <c r="S942" s="2289"/>
      <c r="T942" s="2291"/>
      <c r="U942" s="2289"/>
      <c r="V942" s="2289"/>
      <c r="W942" s="2289"/>
      <c r="X942" s="2292"/>
      <c r="Y942" s="2292"/>
      <c r="Z942" s="2289"/>
      <c r="AA942" s="2289"/>
      <c r="AB942" s="2289"/>
      <c r="AC942" s="2289"/>
      <c r="AD942" s="2293"/>
      <c r="AE942" s="2293"/>
      <c r="AF942" s="2293"/>
      <c r="AG942" s="2293"/>
      <c r="AH942" s="2289"/>
      <c r="AI942" s="2289"/>
      <c r="AJ942" s="2294"/>
      <c r="AK942" s="2294"/>
      <c r="AL942" s="2289"/>
      <c r="AM942" s="2289"/>
      <c r="AN942" s="2289"/>
      <c r="AO942" s="2289"/>
      <c r="AP942" s="2289"/>
      <c r="AQ942" s="2289"/>
      <c r="AR942" s="2294"/>
      <c r="AS942" s="2294"/>
      <c r="AT942" s="2295"/>
      <c r="AU942" s="2295"/>
      <c r="AV942" s="2295"/>
      <c r="AW942" s="2295"/>
      <c r="AX942" s="2296"/>
      <c r="AY942" s="2289"/>
      <c r="AZ942" s="2289"/>
      <c r="BA942" s="2289"/>
      <c r="BB942" s="2289"/>
      <c r="BC942" s="2289"/>
      <c r="BD942" s="2289"/>
      <c r="BE942" s="2289"/>
      <c r="BF942" s="2289"/>
      <c r="BG942" s="2289"/>
      <c r="BH942" s="2289"/>
      <c r="BI942" s="2289"/>
      <c r="BJ942" s="2289"/>
      <c r="BK942" s="2289"/>
      <c r="BL942" s="2289"/>
      <c r="BM942" s="2289"/>
      <c r="BN942" s="2289"/>
      <c r="BO942" s="2289"/>
      <c r="BP942" s="2289"/>
      <c r="BQ942" s="2289"/>
      <c r="BR942" s="2289"/>
    </row>
    <row r="943" spans="1:70" ht="15.75" customHeight="1">
      <c r="A943" s="2289"/>
      <c r="B943" s="2289"/>
      <c r="C943" s="2289"/>
      <c r="D943" s="2289"/>
      <c r="E943" s="2289"/>
      <c r="F943" s="2289"/>
      <c r="G943" s="2290"/>
      <c r="H943" s="2289"/>
      <c r="I943" s="2289"/>
      <c r="J943" s="2290"/>
      <c r="K943" s="2289"/>
      <c r="L943" s="2289"/>
      <c r="M943" s="2290"/>
      <c r="N943" s="2290"/>
      <c r="O943" s="2290"/>
      <c r="P943" s="2290"/>
      <c r="Q943" s="2289"/>
      <c r="R943" s="2289"/>
      <c r="S943" s="2289"/>
      <c r="T943" s="2291"/>
      <c r="U943" s="2289"/>
      <c r="V943" s="2289"/>
      <c r="W943" s="2289"/>
      <c r="X943" s="2292"/>
      <c r="Y943" s="2292"/>
      <c r="Z943" s="2289"/>
      <c r="AA943" s="2289"/>
      <c r="AB943" s="2289"/>
      <c r="AC943" s="2289"/>
      <c r="AD943" s="2293"/>
      <c r="AE943" s="2293"/>
      <c r="AF943" s="2293"/>
      <c r="AG943" s="2293"/>
      <c r="AH943" s="2289"/>
      <c r="AI943" s="2289"/>
      <c r="AJ943" s="2294"/>
      <c r="AK943" s="2294"/>
      <c r="AL943" s="2289"/>
      <c r="AM943" s="2289"/>
      <c r="AN943" s="2289"/>
      <c r="AO943" s="2289"/>
      <c r="AP943" s="2289"/>
      <c r="AQ943" s="2289"/>
      <c r="AR943" s="2294"/>
      <c r="AS943" s="2294"/>
      <c r="AT943" s="2295"/>
      <c r="AU943" s="2295"/>
      <c r="AV943" s="2295"/>
      <c r="AW943" s="2295"/>
      <c r="AX943" s="2296"/>
      <c r="AY943" s="2289"/>
      <c r="AZ943" s="2289"/>
      <c r="BA943" s="2289"/>
      <c r="BB943" s="2289"/>
      <c r="BC943" s="2289"/>
      <c r="BD943" s="2289"/>
      <c r="BE943" s="2289"/>
      <c r="BF943" s="2289"/>
      <c r="BG943" s="2289"/>
      <c r="BH943" s="2289"/>
      <c r="BI943" s="2289"/>
      <c r="BJ943" s="2289"/>
      <c r="BK943" s="2289"/>
      <c r="BL943" s="2289"/>
      <c r="BM943" s="2289"/>
      <c r="BN943" s="2289"/>
      <c r="BO943" s="2289"/>
      <c r="BP943" s="2289"/>
      <c r="BQ943" s="2289"/>
      <c r="BR943" s="2289"/>
    </row>
    <row r="944" spans="1:70" ht="15.75" customHeight="1">
      <c r="A944" s="2289"/>
      <c r="B944" s="2289"/>
      <c r="C944" s="2289"/>
      <c r="D944" s="2289"/>
      <c r="E944" s="2289"/>
      <c r="F944" s="2289"/>
      <c r="G944" s="2290"/>
      <c r="H944" s="2289"/>
      <c r="I944" s="2289"/>
      <c r="J944" s="2290"/>
      <c r="K944" s="2289"/>
      <c r="L944" s="2289"/>
      <c r="M944" s="2290"/>
      <c r="N944" s="2290"/>
      <c r="O944" s="2290"/>
      <c r="P944" s="2290"/>
      <c r="Q944" s="2289"/>
      <c r="R944" s="2289"/>
      <c r="S944" s="2289"/>
      <c r="T944" s="2291"/>
      <c r="U944" s="2289"/>
      <c r="V944" s="2289"/>
      <c r="W944" s="2289"/>
      <c r="X944" s="2292"/>
      <c r="Y944" s="2292"/>
      <c r="Z944" s="2289"/>
      <c r="AA944" s="2289"/>
      <c r="AB944" s="2289"/>
      <c r="AC944" s="2289"/>
      <c r="AD944" s="2293"/>
      <c r="AE944" s="2293"/>
      <c r="AF944" s="2293"/>
      <c r="AG944" s="2293"/>
      <c r="AH944" s="2289"/>
      <c r="AI944" s="2289"/>
      <c r="AJ944" s="2294"/>
      <c r="AK944" s="2294"/>
      <c r="AL944" s="2289"/>
      <c r="AM944" s="2289"/>
      <c r="AN944" s="2289"/>
      <c r="AO944" s="2289"/>
      <c r="AP944" s="2289"/>
      <c r="AQ944" s="2289"/>
      <c r="AR944" s="2294"/>
      <c r="AS944" s="2294"/>
      <c r="AT944" s="2295"/>
      <c r="AU944" s="2295"/>
      <c r="AV944" s="2295"/>
      <c r="AW944" s="2295"/>
      <c r="AX944" s="2296"/>
      <c r="AY944" s="2289"/>
      <c r="AZ944" s="2289"/>
      <c r="BA944" s="2289"/>
      <c r="BB944" s="2289"/>
      <c r="BC944" s="2289"/>
      <c r="BD944" s="2289"/>
      <c r="BE944" s="2289"/>
      <c r="BF944" s="2289"/>
      <c r="BG944" s="2289"/>
      <c r="BH944" s="2289"/>
      <c r="BI944" s="2289"/>
      <c r="BJ944" s="2289"/>
      <c r="BK944" s="2289"/>
      <c r="BL944" s="2289"/>
      <c r="BM944" s="2289"/>
      <c r="BN944" s="2289"/>
      <c r="BO944" s="2289"/>
      <c r="BP944" s="2289"/>
      <c r="BQ944" s="2289"/>
      <c r="BR944" s="2289"/>
    </row>
    <row r="945" spans="1:70" ht="15.75" customHeight="1">
      <c r="A945" s="2289"/>
      <c r="B945" s="2289"/>
      <c r="C945" s="2289"/>
      <c r="D945" s="2289"/>
      <c r="E945" s="2289"/>
      <c r="F945" s="2289"/>
      <c r="G945" s="2290"/>
      <c r="H945" s="2289"/>
      <c r="I945" s="2289"/>
      <c r="J945" s="2290"/>
      <c r="K945" s="2289"/>
      <c r="L945" s="2289"/>
      <c r="M945" s="2290"/>
      <c r="N945" s="2290"/>
      <c r="O945" s="2290"/>
      <c r="P945" s="2290"/>
      <c r="Q945" s="2289"/>
      <c r="R945" s="2289"/>
      <c r="S945" s="2289"/>
      <c r="T945" s="2291"/>
      <c r="U945" s="2289"/>
      <c r="V945" s="2289"/>
      <c r="W945" s="2289"/>
      <c r="X945" s="2292"/>
      <c r="Y945" s="2292"/>
      <c r="Z945" s="2289"/>
      <c r="AA945" s="2289"/>
      <c r="AB945" s="2289"/>
      <c r="AC945" s="2289"/>
      <c r="AD945" s="2293"/>
      <c r="AE945" s="2293"/>
      <c r="AF945" s="2293"/>
      <c r="AG945" s="2293"/>
      <c r="AH945" s="2289"/>
      <c r="AI945" s="2289"/>
      <c r="AJ945" s="2294"/>
      <c r="AK945" s="2294"/>
      <c r="AL945" s="2289"/>
      <c r="AM945" s="2289"/>
      <c r="AN945" s="2289"/>
      <c r="AO945" s="2289"/>
      <c r="AP945" s="2289"/>
      <c r="AQ945" s="2289"/>
      <c r="AR945" s="2294"/>
      <c r="AS945" s="2294"/>
      <c r="AT945" s="2295"/>
      <c r="AU945" s="2295"/>
      <c r="AV945" s="2295"/>
      <c r="AW945" s="2295"/>
      <c r="AX945" s="2296"/>
      <c r="AY945" s="2289"/>
      <c r="AZ945" s="2289"/>
      <c r="BA945" s="2289"/>
      <c r="BB945" s="2289"/>
      <c r="BC945" s="2289"/>
      <c r="BD945" s="2289"/>
      <c r="BE945" s="2289"/>
      <c r="BF945" s="2289"/>
      <c r="BG945" s="2289"/>
      <c r="BH945" s="2289"/>
      <c r="BI945" s="2289"/>
      <c r="BJ945" s="2289"/>
      <c r="BK945" s="2289"/>
      <c r="BL945" s="2289"/>
      <c r="BM945" s="2289"/>
      <c r="BN945" s="2289"/>
      <c r="BO945" s="2289"/>
      <c r="BP945" s="2289"/>
      <c r="BQ945" s="2289"/>
      <c r="BR945" s="2289"/>
    </row>
    <row r="946" spans="1:70" ht="15.75" customHeight="1">
      <c r="A946" s="2289"/>
      <c r="B946" s="2289"/>
      <c r="C946" s="2289"/>
      <c r="D946" s="2289"/>
      <c r="E946" s="2289"/>
      <c r="F946" s="2289"/>
      <c r="G946" s="2290"/>
      <c r="H946" s="2289"/>
      <c r="I946" s="2289"/>
      <c r="J946" s="2290"/>
      <c r="K946" s="2289"/>
      <c r="L946" s="2289"/>
      <c r="M946" s="2290"/>
      <c r="N946" s="2290"/>
      <c r="O946" s="2290"/>
      <c r="P946" s="2290"/>
      <c r="Q946" s="2289"/>
      <c r="R946" s="2289"/>
      <c r="S946" s="2289"/>
      <c r="T946" s="2291"/>
      <c r="U946" s="2289"/>
      <c r="V946" s="2289"/>
      <c r="W946" s="2289"/>
      <c r="X946" s="2292"/>
      <c r="Y946" s="2292"/>
      <c r="Z946" s="2289"/>
      <c r="AA946" s="2289"/>
      <c r="AB946" s="2289"/>
      <c r="AC946" s="2289"/>
      <c r="AD946" s="2293"/>
      <c r="AE946" s="2293"/>
      <c r="AF946" s="2293"/>
      <c r="AG946" s="2293"/>
      <c r="AH946" s="2289"/>
      <c r="AI946" s="2289"/>
      <c r="AJ946" s="2294"/>
      <c r="AK946" s="2294"/>
      <c r="AL946" s="2289"/>
      <c r="AM946" s="2289"/>
      <c r="AN946" s="2289"/>
      <c r="AO946" s="2289"/>
      <c r="AP946" s="2289"/>
      <c r="AQ946" s="2289"/>
      <c r="AR946" s="2294"/>
      <c r="AS946" s="2294"/>
      <c r="AT946" s="2295"/>
      <c r="AU946" s="2295"/>
      <c r="AV946" s="2295"/>
      <c r="AW946" s="2295"/>
      <c r="AX946" s="2296"/>
      <c r="AY946" s="2289"/>
      <c r="AZ946" s="2289"/>
      <c r="BA946" s="2289"/>
      <c r="BB946" s="2289"/>
      <c r="BC946" s="2289"/>
      <c r="BD946" s="2289"/>
      <c r="BE946" s="2289"/>
      <c r="BF946" s="2289"/>
      <c r="BG946" s="2289"/>
      <c r="BH946" s="2289"/>
      <c r="BI946" s="2289"/>
      <c r="BJ946" s="2289"/>
      <c r="BK946" s="2289"/>
      <c r="BL946" s="2289"/>
      <c r="BM946" s="2289"/>
      <c r="BN946" s="2289"/>
      <c r="BO946" s="2289"/>
      <c r="BP946" s="2289"/>
      <c r="BQ946" s="2289"/>
      <c r="BR946" s="2289"/>
    </row>
    <row r="947" spans="1:70" ht="15.75" customHeight="1">
      <c r="A947" s="2289"/>
      <c r="B947" s="2289"/>
      <c r="C947" s="2289"/>
      <c r="D947" s="2289"/>
      <c r="E947" s="2289"/>
      <c r="F947" s="2289"/>
      <c r="G947" s="2290"/>
      <c r="H947" s="2289"/>
      <c r="I947" s="2289"/>
      <c r="J947" s="2290"/>
      <c r="K947" s="2289"/>
      <c r="L947" s="2289"/>
      <c r="M947" s="2290"/>
      <c r="N947" s="2290"/>
      <c r="O947" s="2290"/>
      <c r="P947" s="2290"/>
      <c r="Q947" s="2289"/>
      <c r="R947" s="2289"/>
      <c r="S947" s="2289"/>
      <c r="T947" s="2291"/>
      <c r="U947" s="2289"/>
      <c r="V947" s="2289"/>
      <c r="W947" s="2289"/>
      <c r="X947" s="2292"/>
      <c r="Y947" s="2292"/>
      <c r="Z947" s="2289"/>
      <c r="AA947" s="2289"/>
      <c r="AB947" s="2289"/>
      <c r="AC947" s="2289"/>
      <c r="AD947" s="2293"/>
      <c r="AE947" s="2293"/>
      <c r="AF947" s="2293"/>
      <c r="AG947" s="2293"/>
      <c r="AH947" s="2289"/>
      <c r="AI947" s="2289"/>
      <c r="AJ947" s="2294"/>
      <c r="AK947" s="2294"/>
      <c r="AL947" s="2289"/>
      <c r="AM947" s="2289"/>
      <c r="AN947" s="2289"/>
      <c r="AO947" s="2289"/>
      <c r="AP947" s="2289"/>
      <c r="AQ947" s="2289"/>
      <c r="AR947" s="2294"/>
      <c r="AS947" s="2294"/>
      <c r="AT947" s="2295"/>
      <c r="AU947" s="2295"/>
      <c r="AV947" s="2295"/>
      <c r="AW947" s="2295"/>
      <c r="AX947" s="2296"/>
      <c r="AY947" s="2289"/>
      <c r="AZ947" s="2289"/>
      <c r="BA947" s="2289"/>
      <c r="BB947" s="2289"/>
      <c r="BC947" s="2289"/>
      <c r="BD947" s="2289"/>
      <c r="BE947" s="2289"/>
      <c r="BF947" s="2289"/>
      <c r="BG947" s="2289"/>
      <c r="BH947" s="2289"/>
      <c r="BI947" s="2289"/>
      <c r="BJ947" s="2289"/>
      <c r="BK947" s="2289"/>
      <c r="BL947" s="2289"/>
      <c r="BM947" s="2289"/>
      <c r="BN947" s="2289"/>
      <c r="BO947" s="2289"/>
      <c r="BP947" s="2289"/>
      <c r="BQ947" s="2289"/>
      <c r="BR947" s="2289"/>
    </row>
    <row r="948" spans="1:70" ht="15.75" customHeight="1">
      <c r="A948" s="2289"/>
      <c r="B948" s="2289"/>
      <c r="C948" s="2289"/>
      <c r="D948" s="2289"/>
      <c r="E948" s="2289"/>
      <c r="F948" s="2289"/>
      <c r="G948" s="2290"/>
      <c r="H948" s="2289"/>
      <c r="I948" s="2289"/>
      <c r="J948" s="2290"/>
      <c r="K948" s="2289"/>
      <c r="L948" s="2289"/>
      <c r="M948" s="2290"/>
      <c r="N948" s="2290"/>
      <c r="O948" s="2290"/>
      <c r="P948" s="2290"/>
      <c r="Q948" s="2289"/>
      <c r="R948" s="2289"/>
      <c r="S948" s="2289"/>
      <c r="T948" s="2291"/>
      <c r="U948" s="2289"/>
      <c r="V948" s="2289"/>
      <c r="W948" s="2289"/>
      <c r="X948" s="2292"/>
      <c r="Y948" s="2292"/>
      <c r="Z948" s="2289"/>
      <c r="AA948" s="2289"/>
      <c r="AB948" s="2289"/>
      <c r="AC948" s="2289"/>
      <c r="AD948" s="2293"/>
      <c r="AE948" s="2293"/>
      <c r="AF948" s="2293"/>
      <c r="AG948" s="2293"/>
      <c r="AH948" s="2289"/>
      <c r="AI948" s="2289"/>
      <c r="AJ948" s="2294"/>
      <c r="AK948" s="2294"/>
      <c r="AL948" s="2289"/>
      <c r="AM948" s="2289"/>
      <c r="AN948" s="2289"/>
      <c r="AO948" s="2289"/>
      <c r="AP948" s="2289"/>
      <c r="AQ948" s="2289"/>
      <c r="AR948" s="2294"/>
      <c r="AS948" s="2294"/>
      <c r="AT948" s="2295"/>
      <c r="AU948" s="2295"/>
      <c r="AV948" s="2295"/>
      <c r="AW948" s="2295"/>
      <c r="AX948" s="2296"/>
      <c r="AY948" s="2289"/>
      <c r="AZ948" s="2289"/>
      <c r="BA948" s="2289"/>
      <c r="BB948" s="2289"/>
      <c r="BC948" s="2289"/>
      <c r="BD948" s="2289"/>
      <c r="BE948" s="2289"/>
      <c r="BF948" s="2289"/>
      <c r="BG948" s="2289"/>
      <c r="BH948" s="2289"/>
      <c r="BI948" s="2289"/>
      <c r="BJ948" s="2289"/>
      <c r="BK948" s="2289"/>
      <c r="BL948" s="2289"/>
      <c r="BM948" s="2289"/>
      <c r="BN948" s="2289"/>
      <c r="BO948" s="2289"/>
      <c r="BP948" s="2289"/>
      <c r="BQ948" s="2289"/>
      <c r="BR948" s="2289"/>
    </row>
    <row r="949" spans="1:70" ht="15.75" customHeight="1">
      <c r="A949" s="2289"/>
      <c r="B949" s="2289"/>
      <c r="C949" s="2289"/>
      <c r="D949" s="2289"/>
      <c r="E949" s="2289"/>
      <c r="F949" s="2289"/>
      <c r="G949" s="2290"/>
      <c r="H949" s="2289"/>
      <c r="I949" s="2289"/>
      <c r="J949" s="2290"/>
      <c r="K949" s="2289"/>
      <c r="L949" s="2289"/>
      <c r="M949" s="2290"/>
      <c r="N949" s="2290"/>
      <c r="O949" s="2290"/>
      <c r="P949" s="2290"/>
      <c r="Q949" s="2289"/>
      <c r="R949" s="2289"/>
      <c r="S949" s="2289"/>
      <c r="T949" s="2291"/>
      <c r="U949" s="2289"/>
      <c r="V949" s="2289"/>
      <c r="W949" s="2289"/>
      <c r="X949" s="2292"/>
      <c r="Y949" s="2292"/>
      <c r="Z949" s="2289"/>
      <c r="AA949" s="2289"/>
      <c r="AB949" s="2289"/>
      <c r="AC949" s="2289"/>
      <c r="AD949" s="2293"/>
      <c r="AE949" s="2293"/>
      <c r="AF949" s="2293"/>
      <c r="AG949" s="2293"/>
      <c r="AH949" s="2289"/>
      <c r="AI949" s="2289"/>
      <c r="AJ949" s="2294"/>
      <c r="AK949" s="2294"/>
      <c r="AL949" s="2289"/>
      <c r="AM949" s="2289"/>
      <c r="AN949" s="2289"/>
      <c r="AO949" s="2289"/>
      <c r="AP949" s="2289"/>
      <c r="AQ949" s="2289"/>
      <c r="AR949" s="2294"/>
      <c r="AS949" s="2294"/>
      <c r="AT949" s="2295"/>
      <c r="AU949" s="2295"/>
      <c r="AV949" s="2295"/>
      <c r="AW949" s="2295"/>
      <c r="AX949" s="2296"/>
      <c r="AY949" s="2289"/>
      <c r="AZ949" s="2289"/>
      <c r="BA949" s="2289"/>
      <c r="BB949" s="2289"/>
      <c r="BC949" s="2289"/>
      <c r="BD949" s="2289"/>
      <c r="BE949" s="2289"/>
      <c r="BF949" s="2289"/>
      <c r="BG949" s="2289"/>
      <c r="BH949" s="2289"/>
      <c r="BI949" s="2289"/>
      <c r="BJ949" s="2289"/>
      <c r="BK949" s="2289"/>
      <c r="BL949" s="2289"/>
      <c r="BM949" s="2289"/>
      <c r="BN949" s="2289"/>
      <c r="BO949" s="2289"/>
      <c r="BP949" s="2289"/>
      <c r="BQ949" s="2289"/>
      <c r="BR949" s="2289"/>
    </row>
    <row r="950" spans="1:70" ht="15.75" customHeight="1">
      <c r="A950" s="2289"/>
      <c r="B950" s="2289"/>
      <c r="C950" s="2289"/>
      <c r="D950" s="2289"/>
      <c r="E950" s="2289"/>
      <c r="F950" s="2289"/>
      <c r="G950" s="2290"/>
      <c r="H950" s="2289"/>
      <c r="I950" s="2289"/>
      <c r="J950" s="2290"/>
      <c r="K950" s="2289"/>
      <c r="L950" s="2289"/>
      <c r="M950" s="2290"/>
      <c r="N950" s="2290"/>
      <c r="O950" s="2290"/>
      <c r="P950" s="2290"/>
      <c r="Q950" s="2289"/>
      <c r="R950" s="2289"/>
      <c r="S950" s="2289"/>
      <c r="T950" s="2291"/>
      <c r="U950" s="2289"/>
      <c r="V950" s="2289"/>
      <c r="W950" s="2289"/>
      <c r="X950" s="2292"/>
      <c r="Y950" s="2292"/>
      <c r="Z950" s="2289"/>
      <c r="AA950" s="2289"/>
      <c r="AB950" s="2289"/>
      <c r="AC950" s="2289"/>
      <c r="AD950" s="2293"/>
      <c r="AE950" s="2293"/>
      <c r="AF950" s="2293"/>
      <c r="AG950" s="2293"/>
      <c r="AH950" s="2289"/>
      <c r="AI950" s="2289"/>
      <c r="AJ950" s="2294"/>
      <c r="AK950" s="2294"/>
      <c r="AL950" s="2289"/>
      <c r="AM950" s="2289"/>
      <c r="AN950" s="2289"/>
      <c r="AO950" s="2289"/>
      <c r="AP950" s="2289"/>
      <c r="AQ950" s="2289"/>
      <c r="AR950" s="2294"/>
      <c r="AS950" s="2294"/>
      <c r="AT950" s="2295"/>
      <c r="AU950" s="2295"/>
      <c r="AV950" s="2295"/>
      <c r="AW950" s="2295"/>
      <c r="AX950" s="2296"/>
      <c r="AY950" s="2289"/>
      <c r="AZ950" s="2289"/>
      <c r="BA950" s="2289"/>
      <c r="BB950" s="2289"/>
      <c r="BC950" s="2289"/>
      <c r="BD950" s="2289"/>
      <c r="BE950" s="2289"/>
      <c r="BF950" s="2289"/>
      <c r="BG950" s="2289"/>
      <c r="BH950" s="2289"/>
      <c r="BI950" s="2289"/>
      <c r="BJ950" s="2289"/>
      <c r="BK950" s="2289"/>
      <c r="BL950" s="2289"/>
      <c r="BM950" s="2289"/>
      <c r="BN950" s="2289"/>
      <c r="BO950" s="2289"/>
      <c r="BP950" s="2289"/>
      <c r="BQ950" s="2289"/>
      <c r="BR950" s="2289"/>
    </row>
    <row r="951" spans="1:70" ht="15.75" customHeight="1">
      <c r="A951" s="2289"/>
      <c r="B951" s="2289"/>
      <c r="C951" s="2289"/>
      <c r="D951" s="2289"/>
      <c r="E951" s="2289"/>
      <c r="F951" s="2289"/>
      <c r="G951" s="2290"/>
      <c r="H951" s="2289"/>
      <c r="I951" s="2289"/>
      <c r="J951" s="2290"/>
      <c r="K951" s="2289"/>
      <c r="L951" s="2289"/>
      <c r="M951" s="2290"/>
      <c r="N951" s="2290"/>
      <c r="O951" s="2290"/>
      <c r="P951" s="2290"/>
      <c r="Q951" s="2289"/>
      <c r="R951" s="2289"/>
      <c r="S951" s="2289"/>
      <c r="T951" s="2291"/>
      <c r="U951" s="2289"/>
      <c r="V951" s="2289"/>
      <c r="W951" s="2289"/>
      <c r="X951" s="2292"/>
      <c r="Y951" s="2292"/>
      <c r="Z951" s="2289"/>
      <c r="AA951" s="2289"/>
      <c r="AB951" s="2289"/>
      <c r="AC951" s="2289"/>
      <c r="AD951" s="2293"/>
      <c r="AE951" s="2293"/>
      <c r="AF951" s="2293"/>
      <c r="AG951" s="2293"/>
      <c r="AH951" s="2289"/>
      <c r="AI951" s="2289"/>
      <c r="AJ951" s="2294"/>
      <c r="AK951" s="2294"/>
      <c r="AL951" s="2289"/>
      <c r="AM951" s="2289"/>
      <c r="AN951" s="2289"/>
      <c r="AO951" s="2289"/>
      <c r="AP951" s="2289"/>
      <c r="AQ951" s="2289"/>
      <c r="AR951" s="2294"/>
      <c r="AS951" s="2294"/>
      <c r="AT951" s="2295"/>
      <c r="AU951" s="2295"/>
      <c r="AV951" s="2295"/>
      <c r="AW951" s="2295"/>
      <c r="AX951" s="2296"/>
      <c r="AY951" s="2289"/>
      <c r="AZ951" s="2289"/>
      <c r="BA951" s="2289"/>
      <c r="BB951" s="2289"/>
      <c r="BC951" s="2289"/>
      <c r="BD951" s="2289"/>
      <c r="BE951" s="2289"/>
      <c r="BF951" s="2289"/>
      <c r="BG951" s="2289"/>
      <c r="BH951" s="2289"/>
      <c r="BI951" s="2289"/>
      <c r="BJ951" s="2289"/>
      <c r="BK951" s="2289"/>
      <c r="BL951" s="2289"/>
      <c r="BM951" s="2289"/>
      <c r="BN951" s="2289"/>
      <c r="BO951" s="2289"/>
      <c r="BP951" s="2289"/>
      <c r="BQ951" s="2289"/>
      <c r="BR951" s="2289"/>
    </row>
    <row r="952" spans="1:70" ht="15.75" customHeight="1">
      <c r="A952" s="2289"/>
      <c r="B952" s="2289"/>
      <c r="C952" s="2289"/>
      <c r="D952" s="2289"/>
      <c r="E952" s="2289"/>
      <c r="F952" s="2289"/>
      <c r="G952" s="2290"/>
      <c r="H952" s="2289"/>
      <c r="I952" s="2289"/>
      <c r="J952" s="2290"/>
      <c r="K952" s="2289"/>
      <c r="L952" s="2289"/>
      <c r="M952" s="2290"/>
      <c r="N952" s="2290"/>
      <c r="O952" s="2290"/>
      <c r="P952" s="2290"/>
      <c r="Q952" s="2289"/>
      <c r="R952" s="2289"/>
      <c r="S952" s="2289"/>
      <c r="T952" s="2291"/>
      <c r="U952" s="2289"/>
      <c r="V952" s="2289"/>
      <c r="W952" s="2289"/>
      <c r="X952" s="2292"/>
      <c r="Y952" s="2292"/>
      <c r="Z952" s="2289"/>
      <c r="AA952" s="2289"/>
      <c r="AB952" s="2289"/>
      <c r="AC952" s="2289"/>
      <c r="AD952" s="2293"/>
      <c r="AE952" s="2293"/>
      <c r="AF952" s="2293"/>
      <c r="AG952" s="2293"/>
      <c r="AH952" s="2289"/>
      <c r="AI952" s="2289"/>
      <c r="AJ952" s="2294"/>
      <c r="AK952" s="2294"/>
      <c r="AL952" s="2289"/>
      <c r="AM952" s="2289"/>
      <c r="AN952" s="2289"/>
      <c r="AO952" s="2289"/>
      <c r="AP952" s="2289"/>
      <c r="AQ952" s="2289"/>
      <c r="AR952" s="2294"/>
      <c r="AS952" s="2294"/>
      <c r="AT952" s="2295"/>
      <c r="AU952" s="2295"/>
      <c r="AV952" s="2295"/>
      <c r="AW952" s="2295"/>
      <c r="AX952" s="2296"/>
      <c r="AY952" s="2289"/>
      <c r="AZ952" s="2289"/>
      <c r="BA952" s="2289"/>
      <c r="BB952" s="2289"/>
      <c r="BC952" s="2289"/>
      <c r="BD952" s="2289"/>
      <c r="BE952" s="2289"/>
      <c r="BF952" s="2289"/>
      <c r="BG952" s="2289"/>
      <c r="BH952" s="2289"/>
      <c r="BI952" s="2289"/>
      <c r="BJ952" s="2289"/>
      <c r="BK952" s="2289"/>
      <c r="BL952" s="2289"/>
      <c r="BM952" s="2289"/>
      <c r="BN952" s="2289"/>
      <c r="BO952" s="2289"/>
      <c r="BP952" s="2289"/>
      <c r="BQ952" s="2289"/>
      <c r="BR952" s="2289"/>
    </row>
    <row r="953" spans="1:70" ht="15.75" customHeight="1">
      <c r="A953" s="2289"/>
      <c r="B953" s="2289"/>
      <c r="C953" s="2289"/>
      <c r="D953" s="2289"/>
      <c r="E953" s="2289"/>
      <c r="F953" s="2289"/>
      <c r="G953" s="2290"/>
      <c r="H953" s="2289"/>
      <c r="I953" s="2289"/>
      <c r="J953" s="2290"/>
      <c r="K953" s="2289"/>
      <c r="L953" s="2289"/>
      <c r="M953" s="2290"/>
      <c r="N953" s="2290"/>
      <c r="O953" s="2290"/>
      <c r="P953" s="2290"/>
      <c r="Q953" s="2289"/>
      <c r="R953" s="2289"/>
      <c r="S953" s="2289"/>
      <c r="T953" s="2291"/>
      <c r="U953" s="2289"/>
      <c r="V953" s="2289"/>
      <c r="W953" s="2289"/>
      <c r="X953" s="2292"/>
      <c r="Y953" s="2292"/>
      <c r="Z953" s="2289"/>
      <c r="AA953" s="2289"/>
      <c r="AB953" s="2289"/>
      <c r="AC953" s="2289"/>
      <c r="AD953" s="2293"/>
      <c r="AE953" s="2293"/>
      <c r="AF953" s="2293"/>
      <c r="AG953" s="2293"/>
      <c r="AH953" s="2289"/>
      <c r="AI953" s="2289"/>
      <c r="AJ953" s="2294"/>
      <c r="AK953" s="2294"/>
      <c r="AL953" s="2289"/>
      <c r="AM953" s="2289"/>
      <c r="AN953" s="2289"/>
      <c r="AO953" s="2289"/>
      <c r="AP953" s="2289"/>
      <c r="AQ953" s="2289"/>
      <c r="AR953" s="2294"/>
      <c r="AS953" s="2294"/>
      <c r="AT953" s="2295"/>
      <c r="AU953" s="2295"/>
      <c r="AV953" s="2295"/>
      <c r="AW953" s="2295"/>
      <c r="AX953" s="2296"/>
      <c r="AY953" s="2289"/>
      <c r="AZ953" s="2289"/>
      <c r="BA953" s="2289"/>
      <c r="BB953" s="2289"/>
      <c r="BC953" s="2289"/>
      <c r="BD953" s="2289"/>
      <c r="BE953" s="2289"/>
      <c r="BF953" s="2289"/>
      <c r="BG953" s="2289"/>
      <c r="BH953" s="2289"/>
      <c r="BI953" s="2289"/>
      <c r="BJ953" s="2289"/>
      <c r="BK953" s="2289"/>
      <c r="BL953" s="2289"/>
      <c r="BM953" s="2289"/>
      <c r="BN953" s="2289"/>
      <c r="BO953" s="2289"/>
      <c r="BP953" s="2289"/>
      <c r="BQ953" s="2289"/>
      <c r="BR953" s="2289"/>
    </row>
    <row r="954" spans="1:70" ht="15.75" customHeight="1">
      <c r="A954" s="2289"/>
      <c r="B954" s="2289"/>
      <c r="C954" s="2289"/>
      <c r="D954" s="2289"/>
      <c r="E954" s="2289"/>
      <c r="F954" s="2289"/>
      <c r="G954" s="2290"/>
      <c r="H954" s="2289"/>
      <c r="I954" s="2289"/>
      <c r="J954" s="2290"/>
      <c r="K954" s="2289"/>
      <c r="L954" s="2289"/>
      <c r="M954" s="2290"/>
      <c r="N954" s="2290"/>
      <c r="O954" s="2290"/>
      <c r="P954" s="2290"/>
      <c r="Q954" s="2289"/>
      <c r="R954" s="2289"/>
      <c r="S954" s="2289"/>
      <c r="T954" s="2291"/>
      <c r="U954" s="2289"/>
      <c r="V954" s="2289"/>
      <c r="W954" s="2289"/>
      <c r="X954" s="2292"/>
      <c r="Y954" s="2292"/>
      <c r="Z954" s="2289"/>
      <c r="AA954" s="2289"/>
      <c r="AB954" s="2289"/>
      <c r="AC954" s="2289"/>
      <c r="AD954" s="2293"/>
      <c r="AE954" s="2293"/>
      <c r="AF954" s="2293"/>
      <c r="AG954" s="2293"/>
      <c r="AH954" s="2289"/>
      <c r="AI954" s="2289"/>
      <c r="AJ954" s="2294"/>
      <c r="AK954" s="2294"/>
      <c r="AL954" s="2289"/>
      <c r="AM954" s="2289"/>
      <c r="AN954" s="2289"/>
      <c r="AO954" s="2289"/>
      <c r="AP954" s="2289"/>
      <c r="AQ954" s="2289"/>
      <c r="AR954" s="2294"/>
      <c r="AS954" s="2294"/>
      <c r="AT954" s="2295"/>
      <c r="AU954" s="2295"/>
      <c r="AV954" s="2295"/>
      <c r="AW954" s="2295"/>
      <c r="AX954" s="2296"/>
      <c r="AY954" s="2289"/>
      <c r="AZ954" s="2289"/>
      <c r="BA954" s="2289"/>
      <c r="BB954" s="2289"/>
      <c r="BC954" s="2289"/>
      <c r="BD954" s="2289"/>
      <c r="BE954" s="2289"/>
      <c r="BF954" s="2289"/>
      <c r="BG954" s="2289"/>
      <c r="BH954" s="2289"/>
      <c r="BI954" s="2289"/>
      <c r="BJ954" s="2289"/>
      <c r="BK954" s="2289"/>
      <c r="BL954" s="2289"/>
      <c r="BM954" s="2289"/>
      <c r="BN954" s="2289"/>
      <c r="BO954" s="2289"/>
      <c r="BP954" s="2289"/>
      <c r="BQ954" s="2289"/>
      <c r="BR954" s="2289"/>
    </row>
    <row r="955" spans="1:70" ht="15.75" customHeight="1">
      <c r="A955" s="2289"/>
      <c r="B955" s="2289"/>
      <c r="C955" s="2289"/>
      <c r="D955" s="2289"/>
      <c r="E955" s="2289"/>
      <c r="F955" s="2289"/>
      <c r="G955" s="2290"/>
      <c r="H955" s="2289"/>
      <c r="I955" s="2289"/>
      <c r="J955" s="2290"/>
      <c r="K955" s="2289"/>
      <c r="L955" s="2289"/>
      <c r="M955" s="2290"/>
      <c r="N955" s="2290"/>
      <c r="O955" s="2290"/>
      <c r="P955" s="2290"/>
      <c r="Q955" s="2289"/>
      <c r="R955" s="2289"/>
      <c r="S955" s="2289"/>
      <c r="T955" s="2291"/>
      <c r="U955" s="2289"/>
      <c r="V955" s="2289"/>
      <c r="W955" s="2289"/>
      <c r="X955" s="2292"/>
      <c r="Y955" s="2292"/>
      <c r="Z955" s="2289"/>
      <c r="AA955" s="2289"/>
      <c r="AB955" s="2289"/>
      <c r="AC955" s="2289"/>
      <c r="AD955" s="2293"/>
      <c r="AE955" s="2293"/>
      <c r="AF955" s="2293"/>
      <c r="AG955" s="2293"/>
      <c r="AH955" s="2289"/>
      <c r="AI955" s="2289"/>
      <c r="AJ955" s="2294"/>
      <c r="AK955" s="2294"/>
      <c r="AL955" s="2289"/>
      <c r="AM955" s="2289"/>
      <c r="AN955" s="2289"/>
      <c r="AO955" s="2289"/>
      <c r="AP955" s="2289"/>
      <c r="AQ955" s="2289"/>
      <c r="AR955" s="2294"/>
      <c r="AS955" s="2294"/>
      <c r="AT955" s="2295"/>
      <c r="AU955" s="2295"/>
      <c r="AV955" s="2295"/>
      <c r="AW955" s="2295"/>
      <c r="AX955" s="2296"/>
      <c r="AY955" s="2289"/>
      <c r="AZ955" s="2289"/>
      <c r="BA955" s="2289"/>
      <c r="BB955" s="2289"/>
      <c r="BC955" s="2289"/>
      <c r="BD955" s="2289"/>
      <c r="BE955" s="2289"/>
      <c r="BF955" s="2289"/>
      <c r="BG955" s="2289"/>
      <c r="BH955" s="2289"/>
      <c r="BI955" s="2289"/>
      <c r="BJ955" s="2289"/>
      <c r="BK955" s="2289"/>
      <c r="BL955" s="2289"/>
      <c r="BM955" s="2289"/>
      <c r="BN955" s="2289"/>
      <c r="BO955" s="2289"/>
      <c r="BP955" s="2289"/>
      <c r="BQ955" s="2289"/>
      <c r="BR955" s="2289"/>
    </row>
    <row r="956" spans="1:70" ht="15.75" customHeight="1">
      <c r="A956" s="2289"/>
      <c r="B956" s="2289"/>
      <c r="C956" s="2289"/>
      <c r="D956" s="2289"/>
      <c r="E956" s="2289"/>
      <c r="F956" s="2289"/>
      <c r="G956" s="2290"/>
      <c r="H956" s="2289"/>
      <c r="I956" s="2289"/>
      <c r="J956" s="2290"/>
      <c r="K956" s="2289"/>
      <c r="L956" s="2289"/>
      <c r="M956" s="2290"/>
      <c r="N956" s="2290"/>
      <c r="O956" s="2290"/>
      <c r="P956" s="2290"/>
      <c r="Q956" s="2289"/>
      <c r="R956" s="2289"/>
      <c r="S956" s="2289"/>
      <c r="T956" s="2291"/>
      <c r="U956" s="2289"/>
      <c r="V956" s="2289"/>
      <c r="W956" s="2289"/>
      <c r="X956" s="2292"/>
      <c r="Y956" s="2292"/>
      <c r="Z956" s="2289"/>
      <c r="AA956" s="2289"/>
      <c r="AB956" s="2289"/>
      <c r="AC956" s="2289"/>
      <c r="AD956" s="2293"/>
      <c r="AE956" s="2293"/>
      <c r="AF956" s="2293"/>
      <c r="AG956" s="2293"/>
      <c r="AH956" s="2289"/>
      <c r="AI956" s="2289"/>
      <c r="AJ956" s="2294"/>
      <c r="AK956" s="2294"/>
      <c r="AL956" s="2289"/>
      <c r="AM956" s="2289"/>
      <c r="AN956" s="2289"/>
      <c r="AO956" s="2289"/>
      <c r="AP956" s="2289"/>
      <c r="AQ956" s="2289"/>
      <c r="AR956" s="2294"/>
      <c r="AS956" s="2294"/>
      <c r="AT956" s="2295"/>
      <c r="AU956" s="2295"/>
      <c r="AV956" s="2295"/>
      <c r="AW956" s="2295"/>
      <c r="AX956" s="2296"/>
      <c r="AY956" s="2289"/>
      <c r="AZ956" s="2289"/>
      <c r="BA956" s="2289"/>
      <c r="BB956" s="2289"/>
      <c r="BC956" s="2289"/>
      <c r="BD956" s="2289"/>
      <c r="BE956" s="2289"/>
      <c r="BF956" s="2289"/>
      <c r="BG956" s="2289"/>
      <c r="BH956" s="2289"/>
      <c r="BI956" s="2289"/>
      <c r="BJ956" s="2289"/>
      <c r="BK956" s="2289"/>
      <c r="BL956" s="2289"/>
      <c r="BM956" s="2289"/>
      <c r="BN956" s="2289"/>
      <c r="BO956" s="2289"/>
      <c r="BP956" s="2289"/>
      <c r="BQ956" s="2289"/>
      <c r="BR956" s="2289"/>
    </row>
    <row r="957" spans="1:70" ht="15.75" customHeight="1">
      <c r="A957" s="2289"/>
      <c r="B957" s="2289"/>
      <c r="C957" s="2289"/>
      <c r="D957" s="2289"/>
      <c r="E957" s="2289"/>
      <c r="F957" s="2289"/>
      <c r="G957" s="2290"/>
      <c r="H957" s="2289"/>
      <c r="I957" s="2289"/>
      <c r="J957" s="2290"/>
      <c r="K957" s="2289"/>
      <c r="L957" s="2289"/>
      <c r="M957" s="2290"/>
      <c r="N957" s="2290"/>
      <c r="O957" s="2290"/>
      <c r="P957" s="2290"/>
      <c r="Q957" s="2289"/>
      <c r="R957" s="2289"/>
      <c r="S957" s="2289"/>
      <c r="T957" s="2291"/>
      <c r="U957" s="2289"/>
      <c r="V957" s="2289"/>
      <c r="W957" s="2289"/>
      <c r="X957" s="2292"/>
      <c r="Y957" s="2292"/>
      <c r="Z957" s="2289"/>
      <c r="AA957" s="2289"/>
      <c r="AB957" s="2289"/>
      <c r="AC957" s="2289"/>
      <c r="AD957" s="2293"/>
      <c r="AE957" s="2293"/>
      <c r="AF957" s="2293"/>
      <c r="AG957" s="2293"/>
      <c r="AH957" s="2289"/>
      <c r="AI957" s="2289"/>
      <c r="AJ957" s="2294"/>
      <c r="AK957" s="2294"/>
      <c r="AL957" s="2289"/>
      <c r="AM957" s="2289"/>
      <c r="AN957" s="2289"/>
      <c r="AO957" s="2289"/>
      <c r="AP957" s="2289"/>
      <c r="AQ957" s="2289"/>
      <c r="AR957" s="2294"/>
      <c r="AS957" s="2294"/>
      <c r="AT957" s="2295"/>
      <c r="AU957" s="2295"/>
      <c r="AV957" s="2295"/>
      <c r="AW957" s="2295"/>
      <c r="AX957" s="2296"/>
      <c r="AY957" s="2289"/>
      <c r="AZ957" s="2289"/>
      <c r="BA957" s="2289"/>
      <c r="BB957" s="2289"/>
      <c r="BC957" s="2289"/>
      <c r="BD957" s="2289"/>
      <c r="BE957" s="2289"/>
      <c r="BF957" s="2289"/>
      <c r="BG957" s="2289"/>
      <c r="BH957" s="2289"/>
      <c r="BI957" s="2289"/>
      <c r="BJ957" s="2289"/>
      <c r="BK957" s="2289"/>
      <c r="BL957" s="2289"/>
      <c r="BM957" s="2289"/>
      <c r="BN957" s="2289"/>
      <c r="BO957" s="2289"/>
      <c r="BP957" s="2289"/>
      <c r="BQ957" s="2289"/>
      <c r="BR957" s="2289"/>
    </row>
    <row r="958" spans="1:70" ht="15.75" customHeight="1">
      <c r="A958" s="2289"/>
      <c r="B958" s="2289"/>
      <c r="C958" s="2289"/>
      <c r="D958" s="2289"/>
      <c r="E958" s="2289"/>
      <c r="F958" s="2289"/>
      <c r="G958" s="2290"/>
      <c r="H958" s="2289"/>
      <c r="I958" s="2289"/>
      <c r="J958" s="2290"/>
      <c r="K958" s="2289"/>
      <c r="L958" s="2289"/>
      <c r="M958" s="2290"/>
      <c r="N958" s="2290"/>
      <c r="O958" s="2290"/>
      <c r="P958" s="2290"/>
      <c r="Q958" s="2289"/>
      <c r="R958" s="2289"/>
      <c r="S958" s="2289"/>
      <c r="T958" s="2291"/>
      <c r="U958" s="2289"/>
      <c r="V958" s="2289"/>
      <c r="W958" s="2289"/>
      <c r="X958" s="2292"/>
      <c r="Y958" s="2292"/>
      <c r="Z958" s="2289"/>
      <c r="AA958" s="2289"/>
      <c r="AB958" s="2289"/>
      <c r="AC958" s="2289"/>
      <c r="AD958" s="2293"/>
      <c r="AE958" s="2293"/>
      <c r="AF958" s="2293"/>
      <c r="AG958" s="2293"/>
      <c r="AH958" s="2289"/>
      <c r="AI958" s="2289"/>
      <c r="AJ958" s="2294"/>
      <c r="AK958" s="2294"/>
      <c r="AL958" s="2289"/>
      <c r="AM958" s="2289"/>
      <c r="AN958" s="2289"/>
      <c r="AO958" s="2289"/>
      <c r="AP958" s="2289"/>
      <c r="AQ958" s="2289"/>
      <c r="AR958" s="2294"/>
      <c r="AS958" s="2294"/>
      <c r="AT958" s="2295"/>
      <c r="AU958" s="2295"/>
      <c r="AV958" s="2295"/>
      <c r="AW958" s="2295"/>
      <c r="AX958" s="2296"/>
      <c r="AY958" s="2289"/>
      <c r="AZ958" s="2289"/>
      <c r="BA958" s="2289"/>
      <c r="BB958" s="2289"/>
      <c r="BC958" s="2289"/>
      <c r="BD958" s="2289"/>
      <c r="BE958" s="2289"/>
      <c r="BF958" s="2289"/>
      <c r="BG958" s="2289"/>
      <c r="BH958" s="2289"/>
      <c r="BI958" s="2289"/>
      <c r="BJ958" s="2289"/>
      <c r="BK958" s="2289"/>
      <c r="BL958" s="2289"/>
      <c r="BM958" s="2289"/>
      <c r="BN958" s="2289"/>
      <c r="BO958" s="2289"/>
      <c r="BP958" s="2289"/>
      <c r="BQ958" s="2289"/>
      <c r="BR958" s="2289"/>
    </row>
    <row r="959" spans="1:70" ht="15.75" customHeight="1">
      <c r="A959" s="2289"/>
      <c r="B959" s="2289"/>
      <c r="C959" s="2289"/>
      <c r="D959" s="2289"/>
      <c r="E959" s="2289"/>
      <c r="F959" s="2289"/>
      <c r="G959" s="2290"/>
      <c r="H959" s="2289"/>
      <c r="I959" s="2289"/>
      <c r="J959" s="2290"/>
      <c r="K959" s="2289"/>
      <c r="L959" s="2289"/>
      <c r="M959" s="2290"/>
      <c r="N959" s="2290"/>
      <c r="O959" s="2290"/>
      <c r="P959" s="2290"/>
      <c r="Q959" s="2289"/>
      <c r="R959" s="2289"/>
      <c r="S959" s="2289"/>
      <c r="T959" s="2291"/>
      <c r="U959" s="2289"/>
      <c r="V959" s="2289"/>
      <c r="W959" s="2289"/>
      <c r="X959" s="2292"/>
      <c r="Y959" s="2292"/>
      <c r="Z959" s="2289"/>
      <c r="AA959" s="2289"/>
      <c r="AB959" s="2289"/>
      <c r="AC959" s="2289"/>
      <c r="AD959" s="2293"/>
      <c r="AE959" s="2293"/>
      <c r="AF959" s="2293"/>
      <c r="AG959" s="2293"/>
      <c r="AH959" s="2289"/>
      <c r="AI959" s="2289"/>
      <c r="AJ959" s="2294"/>
      <c r="AK959" s="2294"/>
      <c r="AL959" s="2289"/>
      <c r="AM959" s="2289"/>
      <c r="AN959" s="2289"/>
      <c r="AO959" s="2289"/>
      <c r="AP959" s="2289"/>
      <c r="AQ959" s="2289"/>
      <c r="AR959" s="2294"/>
      <c r="AS959" s="2294"/>
      <c r="AT959" s="2295"/>
      <c r="AU959" s="2295"/>
      <c r="AV959" s="2295"/>
      <c r="AW959" s="2295"/>
      <c r="AX959" s="2296"/>
      <c r="AY959" s="2289"/>
      <c r="AZ959" s="2289"/>
      <c r="BA959" s="2289"/>
      <c r="BB959" s="2289"/>
      <c r="BC959" s="2289"/>
      <c r="BD959" s="2289"/>
      <c r="BE959" s="2289"/>
      <c r="BF959" s="2289"/>
      <c r="BG959" s="2289"/>
      <c r="BH959" s="2289"/>
      <c r="BI959" s="2289"/>
      <c r="BJ959" s="2289"/>
      <c r="BK959" s="2289"/>
      <c r="BL959" s="2289"/>
      <c r="BM959" s="2289"/>
      <c r="BN959" s="2289"/>
      <c r="BO959" s="2289"/>
      <c r="BP959" s="2289"/>
      <c r="BQ959" s="2289"/>
      <c r="BR959" s="2289"/>
    </row>
    <row r="960" spans="1:70" ht="15.75" customHeight="1">
      <c r="A960" s="2289"/>
      <c r="B960" s="2289"/>
      <c r="C960" s="2289"/>
      <c r="D960" s="2289"/>
      <c r="E960" s="2289"/>
      <c r="F960" s="2289"/>
      <c r="G960" s="2290"/>
      <c r="H960" s="2289"/>
      <c r="I960" s="2289"/>
      <c r="J960" s="2290"/>
      <c r="K960" s="2289"/>
      <c r="L960" s="2289"/>
      <c r="M960" s="2290"/>
      <c r="N960" s="2290"/>
      <c r="O960" s="2290"/>
      <c r="P960" s="2290"/>
      <c r="Q960" s="2289"/>
      <c r="R960" s="2289"/>
      <c r="S960" s="2289"/>
      <c r="T960" s="2291"/>
      <c r="U960" s="2289"/>
      <c r="V960" s="2289"/>
      <c r="W960" s="2289"/>
      <c r="X960" s="2292"/>
      <c r="Y960" s="2292"/>
      <c r="Z960" s="2289"/>
      <c r="AA960" s="2289"/>
      <c r="AB960" s="2289"/>
      <c r="AC960" s="2289"/>
      <c r="AD960" s="2293"/>
      <c r="AE960" s="2293"/>
      <c r="AF960" s="2293"/>
      <c r="AG960" s="2293"/>
      <c r="AH960" s="2289"/>
      <c r="AI960" s="2289"/>
      <c r="AJ960" s="2294"/>
      <c r="AK960" s="2294"/>
      <c r="AL960" s="2289"/>
      <c r="AM960" s="2289"/>
      <c r="AN960" s="2289"/>
      <c r="AO960" s="2289"/>
      <c r="AP960" s="2289"/>
      <c r="AQ960" s="2289"/>
      <c r="AR960" s="2294"/>
      <c r="AS960" s="2294"/>
      <c r="AT960" s="2295"/>
      <c r="AU960" s="2295"/>
      <c r="AV960" s="2295"/>
      <c r="AW960" s="2295"/>
      <c r="AX960" s="2296"/>
      <c r="AY960" s="2289"/>
      <c r="AZ960" s="2289"/>
      <c r="BA960" s="2289"/>
      <c r="BB960" s="2289"/>
      <c r="BC960" s="2289"/>
      <c r="BD960" s="2289"/>
      <c r="BE960" s="2289"/>
      <c r="BF960" s="2289"/>
      <c r="BG960" s="2289"/>
      <c r="BH960" s="2289"/>
      <c r="BI960" s="2289"/>
      <c r="BJ960" s="2289"/>
      <c r="BK960" s="2289"/>
      <c r="BL960" s="2289"/>
      <c r="BM960" s="2289"/>
      <c r="BN960" s="2289"/>
      <c r="BO960" s="2289"/>
      <c r="BP960" s="2289"/>
      <c r="BQ960" s="2289"/>
      <c r="BR960" s="2289"/>
    </row>
    <row r="961" spans="1:70" ht="15.75" customHeight="1">
      <c r="A961" s="2289"/>
      <c r="B961" s="2289"/>
      <c r="C961" s="2289"/>
      <c r="D961" s="2289"/>
      <c r="E961" s="2289"/>
      <c r="F961" s="2289"/>
      <c r="G961" s="2290"/>
      <c r="H961" s="2289"/>
      <c r="I961" s="2289"/>
      <c r="J961" s="2290"/>
      <c r="K961" s="2289"/>
      <c r="L961" s="2289"/>
      <c r="M961" s="2290"/>
      <c r="N961" s="2290"/>
      <c r="O961" s="2290"/>
      <c r="P961" s="2290"/>
      <c r="Q961" s="2289"/>
      <c r="R961" s="2289"/>
      <c r="S961" s="2289"/>
      <c r="T961" s="2291"/>
      <c r="U961" s="2289"/>
      <c r="V961" s="2289"/>
      <c r="W961" s="2289"/>
      <c r="X961" s="2292"/>
      <c r="Y961" s="2292"/>
      <c r="Z961" s="2289"/>
      <c r="AA961" s="2289"/>
      <c r="AB961" s="2289"/>
      <c r="AC961" s="2289"/>
      <c r="AD961" s="2293"/>
      <c r="AE961" s="2293"/>
      <c r="AF961" s="2293"/>
      <c r="AG961" s="2293"/>
      <c r="AH961" s="2289"/>
      <c r="AI961" s="2289"/>
      <c r="AJ961" s="2294"/>
      <c r="AK961" s="2294"/>
      <c r="AL961" s="2289"/>
      <c r="AM961" s="2289"/>
      <c r="AN961" s="2289"/>
      <c r="AO961" s="2289"/>
      <c r="AP961" s="2289"/>
      <c r="AQ961" s="2289"/>
      <c r="AR961" s="2294"/>
      <c r="AS961" s="2294"/>
      <c r="AT961" s="2295"/>
      <c r="AU961" s="2295"/>
      <c r="AV961" s="2295"/>
      <c r="AW961" s="2295"/>
      <c r="AX961" s="2296"/>
      <c r="AY961" s="2289"/>
      <c r="AZ961" s="2289"/>
      <c r="BA961" s="2289"/>
      <c r="BB961" s="2289"/>
      <c r="BC961" s="2289"/>
      <c r="BD961" s="2289"/>
      <c r="BE961" s="2289"/>
      <c r="BF961" s="2289"/>
      <c r="BG961" s="2289"/>
      <c r="BH961" s="2289"/>
      <c r="BI961" s="2289"/>
      <c r="BJ961" s="2289"/>
      <c r="BK961" s="2289"/>
      <c r="BL961" s="2289"/>
      <c r="BM961" s="2289"/>
      <c r="BN961" s="2289"/>
      <c r="BO961" s="2289"/>
      <c r="BP961" s="2289"/>
      <c r="BQ961" s="2289"/>
      <c r="BR961" s="2289"/>
    </row>
    <row r="962" spans="1:70" ht="15.75" customHeight="1">
      <c r="A962" s="2289"/>
      <c r="B962" s="2289"/>
      <c r="C962" s="2289"/>
      <c r="D962" s="2289"/>
      <c r="E962" s="2289"/>
      <c r="F962" s="2289"/>
      <c r="G962" s="2290"/>
      <c r="H962" s="2289"/>
      <c r="I962" s="2289"/>
      <c r="J962" s="2290"/>
      <c r="K962" s="2289"/>
      <c r="L962" s="2289"/>
      <c r="M962" s="2290"/>
      <c r="N962" s="2290"/>
      <c r="O962" s="2290"/>
      <c r="P962" s="2290"/>
      <c r="Q962" s="2289"/>
      <c r="R962" s="2289"/>
      <c r="S962" s="2289"/>
      <c r="T962" s="2291"/>
      <c r="U962" s="2289"/>
      <c r="V962" s="2289"/>
      <c r="W962" s="2289"/>
      <c r="X962" s="2292"/>
      <c r="Y962" s="2292"/>
      <c r="Z962" s="2289"/>
      <c r="AA962" s="2289"/>
      <c r="AB962" s="2289"/>
      <c r="AC962" s="2289"/>
      <c r="AD962" s="2293"/>
      <c r="AE962" s="2293"/>
      <c r="AF962" s="2293"/>
      <c r="AG962" s="2293"/>
      <c r="AH962" s="2289"/>
      <c r="AI962" s="2289"/>
      <c r="AJ962" s="2294"/>
      <c r="AK962" s="2294"/>
      <c r="AL962" s="2289"/>
      <c r="AM962" s="2289"/>
      <c r="AN962" s="2289"/>
      <c r="AO962" s="2289"/>
      <c r="AP962" s="2289"/>
      <c r="AQ962" s="2289"/>
      <c r="AR962" s="2294"/>
      <c r="AS962" s="2294"/>
      <c r="AT962" s="2295"/>
      <c r="AU962" s="2295"/>
      <c r="AV962" s="2295"/>
      <c r="AW962" s="2295"/>
      <c r="AX962" s="2296"/>
      <c r="AY962" s="2289"/>
      <c r="AZ962" s="2289"/>
      <c r="BA962" s="2289"/>
      <c r="BB962" s="2289"/>
      <c r="BC962" s="2289"/>
      <c r="BD962" s="2289"/>
      <c r="BE962" s="2289"/>
      <c r="BF962" s="2289"/>
      <c r="BG962" s="2289"/>
      <c r="BH962" s="2289"/>
      <c r="BI962" s="2289"/>
      <c r="BJ962" s="2289"/>
      <c r="BK962" s="2289"/>
      <c r="BL962" s="2289"/>
      <c r="BM962" s="2289"/>
      <c r="BN962" s="2289"/>
      <c r="BO962" s="2289"/>
      <c r="BP962" s="2289"/>
      <c r="BQ962" s="2289"/>
      <c r="BR962" s="2289"/>
    </row>
    <row r="963" spans="1:70" ht="15.75" customHeight="1">
      <c r="A963" s="2289"/>
      <c r="B963" s="2289"/>
      <c r="C963" s="2289"/>
      <c r="D963" s="2289"/>
      <c r="E963" s="2289"/>
      <c r="F963" s="2289"/>
      <c r="G963" s="2290"/>
      <c r="H963" s="2289"/>
      <c r="I963" s="2289"/>
      <c r="J963" s="2290"/>
      <c r="K963" s="2289"/>
      <c r="L963" s="2289"/>
      <c r="M963" s="2290"/>
      <c r="N963" s="2290"/>
      <c r="O963" s="2290"/>
      <c r="P963" s="2290"/>
      <c r="Q963" s="2289"/>
      <c r="R963" s="2289"/>
      <c r="S963" s="2289"/>
      <c r="T963" s="2291"/>
      <c r="U963" s="2289"/>
      <c r="V963" s="2289"/>
      <c r="W963" s="2289"/>
      <c r="X963" s="2292"/>
      <c r="Y963" s="2292"/>
      <c r="Z963" s="2289"/>
      <c r="AA963" s="2289"/>
      <c r="AB963" s="2289"/>
      <c r="AC963" s="2289"/>
      <c r="AD963" s="2293"/>
      <c r="AE963" s="2293"/>
      <c r="AF963" s="2293"/>
      <c r="AG963" s="2293"/>
      <c r="AH963" s="2289"/>
      <c r="AI963" s="2289"/>
      <c r="AJ963" s="2294"/>
      <c r="AK963" s="2294"/>
      <c r="AL963" s="2289"/>
      <c r="AM963" s="2289"/>
      <c r="AN963" s="2289"/>
      <c r="AO963" s="2289"/>
      <c r="AP963" s="2289"/>
      <c r="AQ963" s="2289"/>
      <c r="AR963" s="2294"/>
      <c r="AS963" s="2294"/>
      <c r="AT963" s="2295"/>
      <c r="AU963" s="2295"/>
      <c r="AV963" s="2295"/>
      <c r="AW963" s="2295"/>
      <c r="AX963" s="2296"/>
      <c r="AY963" s="2289"/>
      <c r="AZ963" s="2289"/>
      <c r="BA963" s="2289"/>
      <c r="BB963" s="2289"/>
      <c r="BC963" s="2289"/>
      <c r="BD963" s="2289"/>
      <c r="BE963" s="2289"/>
      <c r="BF963" s="2289"/>
      <c r="BG963" s="2289"/>
      <c r="BH963" s="2289"/>
      <c r="BI963" s="2289"/>
      <c r="BJ963" s="2289"/>
      <c r="BK963" s="2289"/>
      <c r="BL963" s="2289"/>
      <c r="BM963" s="2289"/>
      <c r="BN963" s="2289"/>
      <c r="BO963" s="2289"/>
      <c r="BP963" s="2289"/>
      <c r="BQ963" s="2289"/>
      <c r="BR963" s="2289"/>
    </row>
    <row r="964" spans="1:70" ht="15.75" customHeight="1">
      <c r="A964" s="2289"/>
      <c r="B964" s="2289"/>
      <c r="C964" s="2289"/>
      <c r="D964" s="2289"/>
      <c r="E964" s="2289"/>
      <c r="F964" s="2289"/>
      <c r="G964" s="2290"/>
      <c r="H964" s="2289"/>
      <c r="I964" s="2289"/>
      <c r="J964" s="2290"/>
      <c r="K964" s="2289"/>
      <c r="L964" s="2289"/>
      <c r="M964" s="2290"/>
      <c r="N964" s="2290"/>
      <c r="O964" s="2290"/>
      <c r="P964" s="2290"/>
      <c r="Q964" s="2289"/>
      <c r="R964" s="2289"/>
      <c r="S964" s="2289"/>
      <c r="T964" s="2291"/>
      <c r="U964" s="2289"/>
      <c r="V964" s="2289"/>
      <c r="W964" s="2289"/>
      <c r="X964" s="2292"/>
      <c r="Y964" s="2292"/>
      <c r="Z964" s="2289"/>
      <c r="AA964" s="2289"/>
      <c r="AB964" s="2289"/>
      <c r="AC964" s="2289"/>
      <c r="AD964" s="2293"/>
      <c r="AE964" s="2293"/>
      <c r="AF964" s="2293"/>
      <c r="AG964" s="2293"/>
      <c r="AH964" s="2289"/>
      <c r="AI964" s="2289"/>
      <c r="AJ964" s="2294"/>
      <c r="AK964" s="2294"/>
      <c r="AL964" s="2289"/>
      <c r="AM964" s="2289"/>
      <c r="AN964" s="2289"/>
      <c r="AO964" s="2289"/>
      <c r="AP964" s="2289"/>
      <c r="AQ964" s="2289"/>
      <c r="AR964" s="2294"/>
      <c r="AS964" s="2294"/>
      <c r="AT964" s="2295"/>
      <c r="AU964" s="2295"/>
      <c r="AV964" s="2295"/>
      <c r="AW964" s="2295"/>
      <c r="AX964" s="2296"/>
      <c r="AY964" s="2289"/>
      <c r="AZ964" s="2289"/>
      <c r="BA964" s="2289"/>
      <c r="BB964" s="2289"/>
      <c r="BC964" s="2289"/>
      <c r="BD964" s="2289"/>
      <c r="BE964" s="2289"/>
      <c r="BF964" s="2289"/>
      <c r="BG964" s="2289"/>
      <c r="BH964" s="2289"/>
      <c r="BI964" s="2289"/>
      <c r="BJ964" s="2289"/>
      <c r="BK964" s="2289"/>
      <c r="BL964" s="2289"/>
      <c r="BM964" s="2289"/>
      <c r="BN964" s="2289"/>
      <c r="BO964" s="2289"/>
      <c r="BP964" s="2289"/>
      <c r="BQ964" s="2289"/>
      <c r="BR964" s="2289"/>
    </row>
    <row r="965" spans="1:70" ht="15.75" customHeight="1">
      <c r="A965" s="2289"/>
      <c r="B965" s="2289"/>
      <c r="C965" s="2289"/>
      <c r="D965" s="2289"/>
      <c r="E965" s="2289"/>
      <c r="F965" s="2289"/>
      <c r="G965" s="2290"/>
      <c r="H965" s="2289"/>
      <c r="I965" s="2289"/>
      <c r="J965" s="2290"/>
      <c r="K965" s="2289"/>
      <c r="L965" s="2289"/>
      <c r="M965" s="2290"/>
      <c r="N965" s="2290"/>
      <c r="O965" s="2290"/>
      <c r="P965" s="2290"/>
      <c r="Q965" s="2289"/>
      <c r="R965" s="2289"/>
      <c r="S965" s="2289"/>
      <c r="T965" s="2291"/>
      <c r="U965" s="2289"/>
      <c r="V965" s="2289"/>
      <c r="W965" s="2289"/>
      <c r="X965" s="2292"/>
      <c r="Y965" s="2292"/>
      <c r="Z965" s="2289"/>
      <c r="AA965" s="2289"/>
      <c r="AB965" s="2289"/>
      <c r="AC965" s="2289"/>
      <c r="AD965" s="2293"/>
      <c r="AE965" s="2293"/>
      <c r="AF965" s="2293"/>
      <c r="AG965" s="2293"/>
      <c r="AH965" s="2289"/>
      <c r="AI965" s="2289"/>
      <c r="AJ965" s="2294"/>
      <c r="AK965" s="2294"/>
      <c r="AL965" s="2289"/>
      <c r="AM965" s="2289"/>
      <c r="AN965" s="2289"/>
      <c r="AO965" s="2289"/>
      <c r="AP965" s="2289"/>
      <c r="AQ965" s="2289"/>
      <c r="AR965" s="2294"/>
      <c r="AS965" s="2294"/>
      <c r="AT965" s="2295"/>
      <c r="AU965" s="2295"/>
      <c r="AV965" s="2295"/>
      <c r="AW965" s="2295"/>
      <c r="AX965" s="2296"/>
      <c r="AY965" s="2289"/>
      <c r="AZ965" s="2289"/>
      <c r="BA965" s="2289"/>
      <c r="BB965" s="2289"/>
      <c r="BC965" s="2289"/>
      <c r="BD965" s="2289"/>
      <c r="BE965" s="2289"/>
      <c r="BF965" s="2289"/>
      <c r="BG965" s="2289"/>
      <c r="BH965" s="2289"/>
      <c r="BI965" s="2289"/>
      <c r="BJ965" s="2289"/>
      <c r="BK965" s="2289"/>
      <c r="BL965" s="2289"/>
      <c r="BM965" s="2289"/>
      <c r="BN965" s="2289"/>
      <c r="BO965" s="2289"/>
      <c r="BP965" s="2289"/>
      <c r="BQ965" s="2289"/>
      <c r="BR965" s="2289"/>
    </row>
    <row r="966" spans="1:70" ht="15.75" customHeight="1">
      <c r="A966" s="2289"/>
      <c r="B966" s="2289"/>
      <c r="C966" s="2289"/>
      <c r="D966" s="2289"/>
      <c r="E966" s="2289"/>
      <c r="F966" s="2289"/>
      <c r="G966" s="2290"/>
      <c r="H966" s="2289"/>
      <c r="I966" s="2289"/>
      <c r="J966" s="2290"/>
      <c r="K966" s="2289"/>
      <c r="L966" s="2289"/>
      <c r="M966" s="2290"/>
      <c r="N966" s="2290"/>
      <c r="O966" s="2290"/>
      <c r="P966" s="2290"/>
      <c r="Q966" s="2289"/>
      <c r="R966" s="2289"/>
      <c r="S966" s="2289"/>
      <c r="T966" s="2291"/>
      <c r="U966" s="2289"/>
      <c r="V966" s="2289"/>
      <c r="W966" s="2289"/>
      <c r="X966" s="2292"/>
      <c r="Y966" s="2292"/>
      <c r="Z966" s="2289"/>
      <c r="AA966" s="2289"/>
      <c r="AB966" s="2289"/>
      <c r="AC966" s="2289"/>
      <c r="AD966" s="2293"/>
      <c r="AE966" s="2293"/>
      <c r="AF966" s="2293"/>
      <c r="AG966" s="2293"/>
      <c r="AH966" s="2289"/>
      <c r="AI966" s="2289"/>
      <c r="AJ966" s="2294"/>
      <c r="AK966" s="2294"/>
      <c r="AL966" s="2289"/>
      <c r="AM966" s="2289"/>
      <c r="AN966" s="2289"/>
      <c r="AO966" s="2289"/>
      <c r="AP966" s="2289"/>
      <c r="AQ966" s="2289"/>
      <c r="AR966" s="2294"/>
      <c r="AS966" s="2294"/>
      <c r="AT966" s="2295"/>
      <c r="AU966" s="2295"/>
      <c r="AV966" s="2295"/>
      <c r="AW966" s="2295"/>
      <c r="AX966" s="2296"/>
      <c r="AY966" s="2289"/>
      <c r="AZ966" s="2289"/>
      <c r="BA966" s="2289"/>
      <c r="BB966" s="2289"/>
      <c r="BC966" s="2289"/>
      <c r="BD966" s="2289"/>
      <c r="BE966" s="2289"/>
      <c r="BF966" s="2289"/>
      <c r="BG966" s="2289"/>
      <c r="BH966" s="2289"/>
      <c r="BI966" s="2289"/>
      <c r="BJ966" s="2289"/>
      <c r="BK966" s="2289"/>
      <c r="BL966" s="2289"/>
      <c r="BM966" s="2289"/>
      <c r="BN966" s="2289"/>
      <c r="BO966" s="2289"/>
      <c r="BP966" s="2289"/>
      <c r="BQ966" s="2289"/>
      <c r="BR966" s="2289"/>
    </row>
    <row r="967" spans="1:70" ht="15.75" customHeight="1">
      <c r="A967" s="2289"/>
      <c r="B967" s="2289"/>
      <c r="C967" s="2289"/>
      <c r="D967" s="2289"/>
      <c r="E967" s="2289"/>
      <c r="F967" s="2289"/>
      <c r="G967" s="2290"/>
      <c r="H967" s="2289"/>
      <c r="I967" s="2289"/>
      <c r="J967" s="2290"/>
      <c r="K967" s="2289"/>
      <c r="L967" s="2289"/>
      <c r="M967" s="2290"/>
      <c r="N967" s="2290"/>
      <c r="O967" s="2290"/>
      <c r="P967" s="2290"/>
      <c r="Q967" s="2289"/>
      <c r="R967" s="2289"/>
      <c r="S967" s="2289"/>
      <c r="T967" s="2291"/>
      <c r="U967" s="2289"/>
      <c r="V967" s="2289"/>
      <c r="W967" s="2289"/>
      <c r="X967" s="2292"/>
      <c r="Y967" s="2292"/>
      <c r="Z967" s="2289"/>
      <c r="AA967" s="2289"/>
      <c r="AB967" s="2289"/>
      <c r="AC967" s="2289"/>
      <c r="AD967" s="2293"/>
      <c r="AE967" s="2293"/>
      <c r="AF967" s="2293"/>
      <c r="AG967" s="2293"/>
      <c r="AH967" s="2289"/>
      <c r="AI967" s="2289"/>
      <c r="AJ967" s="2294"/>
      <c r="AK967" s="2294"/>
      <c r="AL967" s="2289"/>
      <c r="AM967" s="2289"/>
      <c r="AN967" s="2289"/>
      <c r="AO967" s="2289"/>
      <c r="AP967" s="2289"/>
      <c r="AQ967" s="2289"/>
      <c r="AR967" s="2294"/>
      <c r="AS967" s="2294"/>
      <c r="AT967" s="2295"/>
      <c r="AU967" s="2295"/>
      <c r="AV967" s="2295"/>
      <c r="AW967" s="2295"/>
      <c r="AX967" s="2296"/>
      <c r="AY967" s="2289"/>
      <c r="AZ967" s="2289"/>
      <c r="BA967" s="2289"/>
      <c r="BB967" s="2289"/>
      <c r="BC967" s="2289"/>
      <c r="BD967" s="2289"/>
      <c r="BE967" s="2289"/>
      <c r="BF967" s="2289"/>
      <c r="BG967" s="2289"/>
      <c r="BH967" s="2289"/>
      <c r="BI967" s="2289"/>
      <c r="BJ967" s="2289"/>
      <c r="BK967" s="2289"/>
      <c r="BL967" s="2289"/>
      <c r="BM967" s="2289"/>
      <c r="BN967" s="2289"/>
      <c r="BO967" s="2289"/>
      <c r="BP967" s="2289"/>
      <c r="BQ967" s="2289"/>
      <c r="BR967" s="2289"/>
    </row>
    <row r="968" spans="1:70" ht="15.75" customHeight="1">
      <c r="A968" s="2289"/>
      <c r="B968" s="2289"/>
      <c r="C968" s="2289"/>
      <c r="D968" s="2289"/>
      <c r="E968" s="2289"/>
      <c r="F968" s="2289"/>
      <c r="G968" s="2290"/>
      <c r="H968" s="2289"/>
      <c r="I968" s="2289"/>
      <c r="J968" s="2290"/>
      <c r="K968" s="2289"/>
      <c r="L968" s="2289"/>
      <c r="M968" s="2290"/>
      <c r="N968" s="2290"/>
      <c r="O968" s="2290"/>
      <c r="P968" s="2290"/>
      <c r="Q968" s="2289"/>
      <c r="R968" s="2289"/>
      <c r="S968" s="2289"/>
      <c r="T968" s="2291"/>
      <c r="U968" s="2289"/>
      <c r="V968" s="2289"/>
      <c r="W968" s="2289"/>
      <c r="X968" s="2292"/>
      <c r="Y968" s="2292"/>
      <c r="Z968" s="2289"/>
      <c r="AA968" s="2289"/>
      <c r="AB968" s="2289"/>
      <c r="AC968" s="2289"/>
      <c r="AD968" s="2293"/>
      <c r="AE968" s="2293"/>
      <c r="AF968" s="2293"/>
      <c r="AG968" s="2293"/>
      <c r="AH968" s="2289"/>
      <c r="AI968" s="2289"/>
      <c r="AJ968" s="2294"/>
      <c r="AK968" s="2294"/>
      <c r="AL968" s="2289"/>
      <c r="AM968" s="2289"/>
      <c r="AN968" s="2289"/>
      <c r="AO968" s="2289"/>
      <c r="AP968" s="2289"/>
      <c r="AQ968" s="2289"/>
      <c r="AR968" s="2294"/>
      <c r="AS968" s="2294"/>
      <c r="AT968" s="2295"/>
      <c r="AU968" s="2295"/>
      <c r="AV968" s="2295"/>
      <c r="AW968" s="2295"/>
      <c r="AX968" s="2296"/>
      <c r="AY968" s="2289"/>
      <c r="AZ968" s="2289"/>
      <c r="BA968" s="2289"/>
      <c r="BB968" s="2289"/>
      <c r="BC968" s="2289"/>
      <c r="BD968" s="2289"/>
      <c r="BE968" s="2289"/>
      <c r="BF968" s="2289"/>
      <c r="BG968" s="2289"/>
      <c r="BH968" s="2289"/>
      <c r="BI968" s="2289"/>
      <c r="BJ968" s="2289"/>
      <c r="BK968" s="2289"/>
      <c r="BL968" s="2289"/>
      <c r="BM968" s="2289"/>
      <c r="BN968" s="2289"/>
      <c r="BO968" s="2289"/>
      <c r="BP968" s="2289"/>
      <c r="BQ968" s="2289"/>
      <c r="BR968" s="2289"/>
    </row>
    <row r="969" spans="1:70" ht="15.75" customHeight="1">
      <c r="A969" s="2289"/>
      <c r="B969" s="2289"/>
      <c r="C969" s="2289"/>
      <c r="D969" s="2289"/>
      <c r="E969" s="2289"/>
      <c r="F969" s="2289"/>
      <c r="G969" s="2290"/>
      <c r="H969" s="2289"/>
      <c r="I969" s="2289"/>
      <c r="J969" s="2290"/>
      <c r="K969" s="2289"/>
      <c r="L969" s="2289"/>
      <c r="M969" s="2290"/>
      <c r="N969" s="2290"/>
      <c r="O969" s="2290"/>
      <c r="P969" s="2290"/>
      <c r="Q969" s="2289"/>
      <c r="R969" s="2289"/>
      <c r="S969" s="2289"/>
      <c r="T969" s="2291"/>
      <c r="U969" s="2289"/>
      <c r="V969" s="2289"/>
      <c r="W969" s="2289"/>
      <c r="X969" s="2292"/>
      <c r="Y969" s="2292"/>
      <c r="Z969" s="2289"/>
      <c r="AA969" s="2289"/>
      <c r="AB969" s="2289"/>
      <c r="AC969" s="2289"/>
      <c r="AD969" s="2293"/>
      <c r="AE969" s="2293"/>
      <c r="AF969" s="2293"/>
      <c r="AG969" s="2293"/>
      <c r="AH969" s="2289"/>
      <c r="AI969" s="2289"/>
      <c r="AJ969" s="2294"/>
      <c r="AK969" s="2294"/>
      <c r="AL969" s="2289"/>
      <c r="AM969" s="2289"/>
      <c r="AN969" s="2289"/>
      <c r="AO969" s="2289"/>
      <c r="AP969" s="2289"/>
      <c r="AQ969" s="2289"/>
      <c r="AR969" s="2294"/>
      <c r="AS969" s="2294"/>
      <c r="AT969" s="2295"/>
      <c r="AU969" s="2295"/>
      <c r="AV969" s="2295"/>
      <c r="AW969" s="2295"/>
      <c r="AX969" s="2296"/>
      <c r="AY969" s="2289"/>
      <c r="AZ969" s="2289"/>
      <c r="BA969" s="2289"/>
      <c r="BB969" s="2289"/>
      <c r="BC969" s="2289"/>
      <c r="BD969" s="2289"/>
      <c r="BE969" s="2289"/>
      <c r="BF969" s="2289"/>
      <c r="BG969" s="2289"/>
      <c r="BH969" s="2289"/>
      <c r="BI969" s="2289"/>
      <c r="BJ969" s="2289"/>
      <c r="BK969" s="2289"/>
      <c r="BL969" s="2289"/>
      <c r="BM969" s="2289"/>
      <c r="BN969" s="2289"/>
      <c r="BO969" s="2289"/>
      <c r="BP969" s="2289"/>
      <c r="BQ969" s="2289"/>
      <c r="BR969" s="2289"/>
    </row>
    <row r="970" spans="1:70" ht="15.75" customHeight="1">
      <c r="A970" s="2289"/>
      <c r="B970" s="2289"/>
      <c r="C970" s="2289"/>
      <c r="D970" s="2289"/>
      <c r="E970" s="2289"/>
      <c r="F970" s="2289"/>
      <c r="G970" s="2290"/>
      <c r="H970" s="2289"/>
      <c r="I970" s="2289"/>
      <c r="J970" s="2290"/>
      <c r="K970" s="2289"/>
      <c r="L970" s="2289"/>
      <c r="M970" s="2290"/>
      <c r="N970" s="2290"/>
      <c r="O970" s="2290"/>
      <c r="P970" s="2290"/>
      <c r="Q970" s="2289"/>
      <c r="R970" s="2289"/>
      <c r="S970" s="2289"/>
      <c r="T970" s="2291"/>
      <c r="U970" s="2289"/>
      <c r="V970" s="2289"/>
      <c r="W970" s="2289"/>
      <c r="X970" s="2292"/>
      <c r="Y970" s="2292"/>
      <c r="Z970" s="2289"/>
      <c r="AA970" s="2289"/>
      <c r="AB970" s="2289"/>
      <c r="AC970" s="2289"/>
      <c r="AD970" s="2293"/>
      <c r="AE970" s="2293"/>
      <c r="AF970" s="2293"/>
      <c r="AG970" s="2293"/>
      <c r="AH970" s="2289"/>
      <c r="AI970" s="2289"/>
      <c r="AJ970" s="2294"/>
      <c r="AK970" s="2294"/>
      <c r="AL970" s="2289"/>
      <c r="AM970" s="2289"/>
      <c r="AN970" s="2289"/>
      <c r="AO970" s="2289"/>
      <c r="AP970" s="2289"/>
      <c r="AQ970" s="2289"/>
      <c r="AR970" s="2294"/>
      <c r="AS970" s="2294"/>
      <c r="AT970" s="2295"/>
      <c r="AU970" s="2295"/>
      <c r="AV970" s="2295"/>
      <c r="AW970" s="2295"/>
      <c r="AX970" s="2296"/>
      <c r="AY970" s="2289"/>
      <c r="AZ970" s="2289"/>
      <c r="BA970" s="2289"/>
      <c r="BB970" s="2289"/>
      <c r="BC970" s="2289"/>
      <c r="BD970" s="2289"/>
      <c r="BE970" s="2289"/>
      <c r="BF970" s="2289"/>
      <c r="BG970" s="2289"/>
      <c r="BH970" s="2289"/>
      <c r="BI970" s="2289"/>
      <c r="BJ970" s="2289"/>
      <c r="BK970" s="2289"/>
      <c r="BL970" s="2289"/>
      <c r="BM970" s="2289"/>
      <c r="BN970" s="2289"/>
      <c r="BO970" s="2289"/>
      <c r="BP970" s="2289"/>
      <c r="BQ970" s="2289"/>
      <c r="BR970" s="2289"/>
    </row>
    <row r="971" spans="1:70" ht="15.75" customHeight="1">
      <c r="A971" s="2289"/>
      <c r="B971" s="2289"/>
      <c r="C971" s="2289"/>
      <c r="D971" s="2289"/>
      <c r="E971" s="2289"/>
      <c r="F971" s="2289"/>
      <c r="G971" s="2290"/>
      <c r="H971" s="2289"/>
      <c r="I971" s="2289"/>
      <c r="J971" s="2290"/>
      <c r="K971" s="2289"/>
      <c r="L971" s="2289"/>
      <c r="M971" s="2290"/>
      <c r="N971" s="2290"/>
      <c r="O971" s="2290"/>
      <c r="P971" s="2290"/>
      <c r="Q971" s="2289"/>
      <c r="R971" s="2289"/>
      <c r="S971" s="2289"/>
      <c r="T971" s="2291"/>
      <c r="U971" s="2289"/>
      <c r="V971" s="2289"/>
      <c r="W971" s="2289"/>
      <c r="X971" s="2292"/>
      <c r="Y971" s="2292"/>
      <c r="Z971" s="2289"/>
      <c r="AA971" s="2289"/>
      <c r="AB971" s="2289"/>
      <c r="AC971" s="2289"/>
      <c r="AD971" s="2293"/>
      <c r="AE971" s="2293"/>
      <c r="AF971" s="2293"/>
      <c r="AG971" s="2293"/>
      <c r="AH971" s="2289"/>
      <c r="AI971" s="2289"/>
      <c r="AJ971" s="2294"/>
      <c r="AK971" s="2294"/>
      <c r="AL971" s="2289"/>
      <c r="AM971" s="2289"/>
      <c r="AN971" s="2289"/>
      <c r="AO971" s="2289"/>
      <c r="AP971" s="2289"/>
      <c r="AQ971" s="2289"/>
      <c r="AR971" s="2294"/>
      <c r="AS971" s="2294"/>
      <c r="AT971" s="2295"/>
      <c r="AU971" s="2295"/>
      <c r="AV971" s="2295"/>
      <c r="AW971" s="2295"/>
      <c r="AX971" s="2296"/>
      <c r="AY971" s="2289"/>
      <c r="AZ971" s="2289"/>
      <c r="BA971" s="2289"/>
      <c r="BB971" s="2289"/>
      <c r="BC971" s="2289"/>
      <c r="BD971" s="2289"/>
      <c r="BE971" s="2289"/>
      <c r="BF971" s="2289"/>
      <c r="BG971" s="2289"/>
      <c r="BH971" s="2289"/>
      <c r="BI971" s="2289"/>
      <c r="BJ971" s="2289"/>
      <c r="BK971" s="2289"/>
      <c r="BL971" s="2289"/>
      <c r="BM971" s="2289"/>
      <c r="BN971" s="2289"/>
      <c r="BO971" s="2289"/>
      <c r="BP971" s="2289"/>
      <c r="BQ971" s="2289"/>
      <c r="BR971" s="2289"/>
    </row>
    <row r="972" spans="1:70" ht="15.75" customHeight="1">
      <c r="A972" s="2289"/>
      <c r="B972" s="2289"/>
      <c r="C972" s="2289"/>
      <c r="D972" s="2289"/>
      <c r="E972" s="2289"/>
      <c r="F972" s="2289"/>
      <c r="G972" s="2290"/>
      <c r="H972" s="2289"/>
      <c r="I972" s="2289"/>
      <c r="J972" s="2290"/>
      <c r="K972" s="2289"/>
      <c r="L972" s="2289"/>
      <c r="M972" s="2290"/>
      <c r="N972" s="2290"/>
      <c r="O972" s="2290"/>
      <c r="P972" s="2290"/>
      <c r="Q972" s="2289"/>
      <c r="R972" s="2289"/>
      <c r="S972" s="2289"/>
      <c r="T972" s="2291"/>
      <c r="U972" s="2289"/>
      <c r="V972" s="2289"/>
      <c r="W972" s="2289"/>
      <c r="X972" s="2292"/>
      <c r="Y972" s="2292"/>
      <c r="Z972" s="2289"/>
      <c r="AA972" s="2289"/>
      <c r="AB972" s="2289"/>
      <c r="AC972" s="2289"/>
      <c r="AD972" s="2293"/>
      <c r="AE972" s="2293"/>
      <c r="AF972" s="2293"/>
      <c r="AG972" s="2293"/>
      <c r="AH972" s="2289"/>
      <c r="AI972" s="2289"/>
      <c r="AJ972" s="2294"/>
      <c r="AK972" s="2294"/>
      <c r="AL972" s="2289"/>
      <c r="AM972" s="2289"/>
      <c r="AN972" s="2289"/>
      <c r="AO972" s="2289"/>
      <c r="AP972" s="2289"/>
      <c r="AQ972" s="2289"/>
      <c r="AR972" s="2294"/>
      <c r="AS972" s="2294"/>
      <c r="AT972" s="2295"/>
      <c r="AU972" s="2295"/>
      <c r="AV972" s="2295"/>
      <c r="AW972" s="2295"/>
      <c r="AX972" s="2296"/>
      <c r="AY972" s="2289"/>
      <c r="AZ972" s="2289"/>
      <c r="BA972" s="2289"/>
      <c r="BB972" s="2289"/>
      <c r="BC972" s="2289"/>
      <c r="BD972" s="2289"/>
      <c r="BE972" s="2289"/>
      <c r="BF972" s="2289"/>
      <c r="BG972" s="2289"/>
      <c r="BH972" s="2289"/>
      <c r="BI972" s="2289"/>
      <c r="BJ972" s="2289"/>
      <c r="BK972" s="2289"/>
      <c r="BL972" s="2289"/>
      <c r="BM972" s="2289"/>
      <c r="BN972" s="2289"/>
      <c r="BO972" s="2289"/>
      <c r="BP972" s="2289"/>
      <c r="BQ972" s="2289"/>
      <c r="BR972" s="2289"/>
    </row>
    <row r="973" spans="1:70" ht="15.75" customHeight="1">
      <c r="A973" s="2289"/>
      <c r="B973" s="2289"/>
      <c r="C973" s="2289"/>
      <c r="D973" s="2289"/>
      <c r="E973" s="2289"/>
      <c r="F973" s="2289"/>
      <c r="G973" s="2290"/>
      <c r="H973" s="2289"/>
      <c r="I973" s="2289"/>
      <c r="J973" s="2290"/>
      <c r="K973" s="2289"/>
      <c r="L973" s="2289"/>
      <c r="M973" s="2290"/>
      <c r="N973" s="2290"/>
      <c r="O973" s="2290"/>
      <c r="P973" s="2290"/>
      <c r="Q973" s="2289"/>
      <c r="R973" s="2289"/>
      <c r="S973" s="2289"/>
      <c r="T973" s="2291"/>
      <c r="U973" s="2289"/>
      <c r="V973" s="2289"/>
      <c r="W973" s="2289"/>
      <c r="X973" s="2292"/>
      <c r="Y973" s="2292"/>
      <c r="Z973" s="2289"/>
      <c r="AA973" s="2289"/>
      <c r="AB973" s="2289"/>
      <c r="AC973" s="2289"/>
      <c r="AD973" s="2293"/>
      <c r="AE973" s="2293"/>
      <c r="AF973" s="2293"/>
      <c r="AG973" s="2293"/>
      <c r="AH973" s="2289"/>
      <c r="AI973" s="2289"/>
      <c r="AJ973" s="2294"/>
      <c r="AK973" s="2294"/>
      <c r="AL973" s="2289"/>
      <c r="AM973" s="2289"/>
      <c r="AN973" s="2289"/>
      <c r="AO973" s="2289"/>
      <c r="AP973" s="2289"/>
      <c r="AQ973" s="2289"/>
      <c r="AR973" s="2294"/>
      <c r="AS973" s="2294"/>
      <c r="AT973" s="2295"/>
      <c r="AU973" s="2295"/>
      <c r="AV973" s="2295"/>
      <c r="AW973" s="2295"/>
      <c r="AX973" s="2296"/>
      <c r="AY973" s="2289"/>
      <c r="AZ973" s="2289"/>
      <c r="BA973" s="2289"/>
      <c r="BB973" s="2289"/>
      <c r="BC973" s="2289"/>
      <c r="BD973" s="2289"/>
      <c r="BE973" s="2289"/>
      <c r="BF973" s="2289"/>
      <c r="BG973" s="2289"/>
      <c r="BH973" s="2289"/>
      <c r="BI973" s="2289"/>
      <c r="BJ973" s="2289"/>
      <c r="BK973" s="2289"/>
      <c r="BL973" s="2289"/>
      <c r="BM973" s="2289"/>
      <c r="BN973" s="2289"/>
      <c r="BO973" s="2289"/>
      <c r="BP973" s="2289"/>
      <c r="BQ973" s="2289"/>
      <c r="BR973" s="2289"/>
    </row>
    <row r="974" spans="1:70" ht="15.75" customHeight="1">
      <c r="A974" s="2289"/>
      <c r="B974" s="2289"/>
      <c r="C974" s="2289"/>
      <c r="D974" s="2289"/>
      <c r="E974" s="2289"/>
      <c r="F974" s="2289"/>
      <c r="G974" s="2290"/>
      <c r="H974" s="2289"/>
      <c r="I974" s="2289"/>
      <c r="J974" s="2290"/>
      <c r="K974" s="2289"/>
      <c r="L974" s="2289"/>
      <c r="M974" s="2290"/>
      <c r="N974" s="2290"/>
      <c r="O974" s="2290"/>
      <c r="P974" s="2290"/>
      <c r="Q974" s="2289"/>
      <c r="R974" s="2289"/>
      <c r="S974" s="2289"/>
      <c r="T974" s="2291"/>
      <c r="U974" s="2289"/>
      <c r="V974" s="2289"/>
      <c r="W974" s="2289"/>
      <c r="X974" s="2292"/>
      <c r="Y974" s="2292"/>
      <c r="Z974" s="2289"/>
      <c r="AA974" s="2289"/>
      <c r="AB974" s="2289"/>
      <c r="AC974" s="2289"/>
      <c r="AD974" s="2293"/>
      <c r="AE974" s="2293"/>
      <c r="AF974" s="2293"/>
      <c r="AG974" s="2293"/>
      <c r="AH974" s="2289"/>
      <c r="AI974" s="2289"/>
      <c r="AJ974" s="2294"/>
      <c r="AK974" s="2294"/>
      <c r="AL974" s="2289"/>
      <c r="AM974" s="2289"/>
      <c r="AN974" s="2289"/>
      <c r="AO974" s="2289"/>
      <c r="AP974" s="2289"/>
      <c r="AQ974" s="2289"/>
      <c r="AR974" s="2294"/>
      <c r="AS974" s="2294"/>
      <c r="AT974" s="2295"/>
      <c r="AU974" s="2295"/>
      <c r="AV974" s="2295"/>
      <c r="AW974" s="2295"/>
      <c r="AX974" s="2296"/>
      <c r="AY974" s="2289"/>
      <c r="AZ974" s="2289"/>
      <c r="BA974" s="2289"/>
      <c r="BB974" s="2289"/>
      <c r="BC974" s="2289"/>
      <c r="BD974" s="2289"/>
      <c r="BE974" s="2289"/>
      <c r="BF974" s="2289"/>
      <c r="BG974" s="2289"/>
      <c r="BH974" s="2289"/>
      <c r="BI974" s="2289"/>
      <c r="BJ974" s="2289"/>
      <c r="BK974" s="2289"/>
      <c r="BL974" s="2289"/>
      <c r="BM974" s="2289"/>
      <c r="BN974" s="2289"/>
      <c r="BO974" s="2289"/>
      <c r="BP974" s="2289"/>
      <c r="BQ974" s="2289"/>
      <c r="BR974" s="2289"/>
    </row>
    <row r="975" spans="1:70" ht="15.75" customHeight="1">
      <c r="A975" s="2289"/>
      <c r="B975" s="2289"/>
      <c r="C975" s="2289"/>
      <c r="D975" s="2289"/>
      <c r="E975" s="2289"/>
      <c r="F975" s="2289"/>
      <c r="G975" s="2290"/>
      <c r="H975" s="2289"/>
      <c r="I975" s="2289"/>
      <c r="J975" s="2290"/>
      <c r="K975" s="2289"/>
      <c r="L975" s="2289"/>
      <c r="M975" s="2290"/>
      <c r="N975" s="2290"/>
      <c r="O975" s="2290"/>
      <c r="P975" s="2290"/>
      <c r="Q975" s="2289"/>
      <c r="R975" s="2289"/>
      <c r="S975" s="2289"/>
      <c r="T975" s="2291"/>
      <c r="U975" s="2289"/>
      <c r="V975" s="2289"/>
      <c r="W975" s="2289"/>
      <c r="X975" s="2292"/>
      <c r="Y975" s="2292"/>
      <c r="Z975" s="2289"/>
      <c r="AA975" s="2289"/>
      <c r="AB975" s="2289"/>
      <c r="AC975" s="2289"/>
      <c r="AD975" s="2293"/>
      <c r="AE975" s="2293"/>
      <c r="AF975" s="2293"/>
      <c r="AG975" s="2293"/>
      <c r="AH975" s="2289"/>
      <c r="AI975" s="2289"/>
      <c r="AJ975" s="2294"/>
      <c r="AK975" s="2294"/>
      <c r="AL975" s="2289"/>
      <c r="AM975" s="2289"/>
      <c r="AN975" s="2289"/>
      <c r="AO975" s="2289"/>
      <c r="AP975" s="2289"/>
      <c r="AQ975" s="2289"/>
      <c r="AR975" s="2294"/>
      <c r="AS975" s="2294"/>
      <c r="AT975" s="2295"/>
      <c r="AU975" s="2295"/>
      <c r="AV975" s="2295"/>
      <c r="AW975" s="2295"/>
      <c r="AX975" s="2296"/>
      <c r="AY975" s="2289"/>
      <c r="AZ975" s="2289"/>
      <c r="BA975" s="2289"/>
      <c r="BB975" s="2289"/>
      <c r="BC975" s="2289"/>
      <c r="BD975" s="2289"/>
      <c r="BE975" s="2289"/>
      <c r="BF975" s="2289"/>
      <c r="BG975" s="2289"/>
      <c r="BH975" s="2289"/>
      <c r="BI975" s="2289"/>
      <c r="BJ975" s="2289"/>
      <c r="BK975" s="2289"/>
      <c r="BL975" s="2289"/>
      <c r="BM975" s="2289"/>
      <c r="BN975" s="2289"/>
      <c r="BO975" s="2289"/>
      <c r="BP975" s="2289"/>
      <c r="BQ975" s="2289"/>
      <c r="BR975" s="2289"/>
    </row>
    <row r="976" spans="1:70" ht="15.75" customHeight="1">
      <c r="A976" s="2289"/>
      <c r="B976" s="2289"/>
      <c r="C976" s="2289"/>
      <c r="D976" s="2289"/>
      <c r="E976" s="2289"/>
      <c r="F976" s="2289"/>
      <c r="G976" s="2290"/>
      <c r="H976" s="2289"/>
      <c r="I976" s="2289"/>
      <c r="J976" s="2290"/>
      <c r="K976" s="2289"/>
      <c r="L976" s="2289"/>
      <c r="M976" s="2290"/>
      <c r="N976" s="2290"/>
      <c r="O976" s="2290"/>
      <c r="P976" s="2290"/>
      <c r="Q976" s="2289"/>
      <c r="R976" s="2289"/>
      <c r="S976" s="2289"/>
      <c r="T976" s="2291"/>
      <c r="U976" s="2289"/>
      <c r="V976" s="2289"/>
      <c r="W976" s="2289"/>
      <c r="X976" s="2292"/>
      <c r="Y976" s="2292"/>
      <c r="Z976" s="2289"/>
      <c r="AA976" s="2289"/>
      <c r="AB976" s="2289"/>
      <c r="AC976" s="2289"/>
      <c r="AD976" s="2293"/>
      <c r="AE976" s="2293"/>
      <c r="AF976" s="2293"/>
      <c r="AG976" s="2293"/>
      <c r="AH976" s="2289"/>
      <c r="AI976" s="2289"/>
      <c r="AJ976" s="2294"/>
      <c r="AK976" s="2294"/>
      <c r="AL976" s="2289"/>
      <c r="AM976" s="2289"/>
      <c r="AN976" s="2289"/>
      <c r="AO976" s="2289"/>
      <c r="AP976" s="2289"/>
      <c r="AQ976" s="2289"/>
      <c r="AR976" s="2294"/>
      <c r="AS976" s="2294"/>
      <c r="AT976" s="2295"/>
      <c r="AU976" s="2295"/>
      <c r="AV976" s="2295"/>
      <c r="AW976" s="2295"/>
      <c r="AX976" s="2296"/>
      <c r="AY976" s="2289"/>
      <c r="AZ976" s="2289"/>
      <c r="BA976" s="2289"/>
      <c r="BB976" s="2289"/>
      <c r="BC976" s="2289"/>
      <c r="BD976" s="2289"/>
      <c r="BE976" s="2289"/>
      <c r="BF976" s="2289"/>
      <c r="BG976" s="2289"/>
      <c r="BH976" s="2289"/>
      <c r="BI976" s="2289"/>
      <c r="BJ976" s="2289"/>
      <c r="BK976" s="2289"/>
      <c r="BL976" s="2289"/>
      <c r="BM976" s="2289"/>
      <c r="BN976" s="2289"/>
      <c r="BO976" s="2289"/>
      <c r="BP976" s="2289"/>
      <c r="BQ976" s="2289"/>
      <c r="BR976" s="2289"/>
    </row>
    <row r="977" spans="1:70" ht="15.75" customHeight="1">
      <c r="A977" s="2289"/>
      <c r="B977" s="2289"/>
      <c r="C977" s="2289"/>
      <c r="D977" s="2289"/>
      <c r="E977" s="2289"/>
      <c r="F977" s="2289"/>
      <c r="G977" s="2290"/>
      <c r="H977" s="2289"/>
      <c r="I977" s="2289"/>
      <c r="J977" s="2290"/>
      <c r="K977" s="2289"/>
      <c r="L977" s="2289"/>
      <c r="M977" s="2290"/>
      <c r="N977" s="2290"/>
      <c r="O977" s="2290"/>
      <c r="P977" s="2290"/>
      <c r="Q977" s="2289"/>
      <c r="R977" s="2289"/>
      <c r="S977" s="2289"/>
      <c r="T977" s="2291"/>
      <c r="U977" s="2289"/>
      <c r="V977" s="2289"/>
      <c r="W977" s="2289"/>
      <c r="X977" s="2292"/>
      <c r="Y977" s="2292"/>
      <c r="Z977" s="2289"/>
      <c r="AA977" s="2289"/>
      <c r="AB977" s="2289"/>
      <c r="AC977" s="2289"/>
      <c r="AD977" s="2293"/>
      <c r="AE977" s="2293"/>
      <c r="AF977" s="2293"/>
      <c r="AG977" s="2293"/>
      <c r="AH977" s="2289"/>
      <c r="AI977" s="2289"/>
      <c r="AJ977" s="2294"/>
      <c r="AK977" s="2294"/>
      <c r="AL977" s="2289"/>
      <c r="AM977" s="2289"/>
      <c r="AN977" s="2289"/>
      <c r="AO977" s="2289"/>
      <c r="AP977" s="2289"/>
      <c r="AQ977" s="2289"/>
      <c r="AR977" s="2294"/>
      <c r="AS977" s="2294"/>
      <c r="AT977" s="2295"/>
      <c r="AU977" s="2295"/>
      <c r="AV977" s="2295"/>
      <c r="AW977" s="2295"/>
      <c r="AX977" s="2296"/>
      <c r="AY977" s="2289"/>
      <c r="AZ977" s="2289"/>
      <c r="BA977" s="2289"/>
      <c r="BB977" s="2289"/>
      <c r="BC977" s="2289"/>
      <c r="BD977" s="2289"/>
      <c r="BE977" s="2289"/>
      <c r="BF977" s="2289"/>
      <c r="BG977" s="2289"/>
      <c r="BH977" s="2289"/>
      <c r="BI977" s="2289"/>
      <c r="BJ977" s="2289"/>
      <c r="BK977" s="2289"/>
      <c r="BL977" s="2289"/>
      <c r="BM977" s="2289"/>
      <c r="BN977" s="2289"/>
      <c r="BO977" s="2289"/>
      <c r="BP977" s="2289"/>
      <c r="BQ977" s="2289"/>
      <c r="BR977" s="2289"/>
    </row>
    <row r="978" spans="1:70" ht="15.75" customHeight="1">
      <c r="A978" s="2289"/>
      <c r="B978" s="2289"/>
      <c r="C978" s="2289"/>
      <c r="D978" s="2289"/>
      <c r="E978" s="2289"/>
      <c r="F978" s="2289"/>
      <c r="G978" s="2290"/>
      <c r="H978" s="2289"/>
      <c r="I978" s="2289"/>
      <c r="J978" s="2290"/>
      <c r="K978" s="2289"/>
      <c r="L978" s="2289"/>
      <c r="M978" s="2290"/>
      <c r="N978" s="2290"/>
      <c r="O978" s="2290"/>
      <c r="P978" s="2290"/>
      <c r="Q978" s="2289"/>
      <c r="R978" s="2289"/>
      <c r="S978" s="2289"/>
      <c r="T978" s="2291"/>
      <c r="U978" s="2289"/>
      <c r="V978" s="2289"/>
      <c r="W978" s="2289"/>
      <c r="X978" s="2292"/>
      <c r="Y978" s="2292"/>
      <c r="Z978" s="2289"/>
      <c r="AA978" s="2289"/>
      <c r="AB978" s="2289"/>
      <c r="AC978" s="2289"/>
      <c r="AD978" s="2293"/>
      <c r="AE978" s="2293"/>
      <c r="AF978" s="2293"/>
      <c r="AG978" s="2293"/>
      <c r="AH978" s="2289"/>
      <c r="AI978" s="2289"/>
      <c r="AJ978" s="2294"/>
      <c r="AK978" s="2294"/>
      <c r="AL978" s="2289"/>
      <c r="AM978" s="2289"/>
      <c r="AN978" s="2289"/>
      <c r="AO978" s="2289"/>
      <c r="AP978" s="2289"/>
      <c r="AQ978" s="2289"/>
      <c r="AR978" s="2294"/>
      <c r="AS978" s="2294"/>
      <c r="AT978" s="2295"/>
      <c r="AU978" s="2295"/>
      <c r="AV978" s="2295"/>
      <c r="AW978" s="2295"/>
      <c r="AX978" s="2296"/>
      <c r="AY978" s="2289"/>
      <c r="AZ978" s="2289"/>
      <c r="BA978" s="2289"/>
      <c r="BB978" s="2289"/>
      <c r="BC978" s="2289"/>
      <c r="BD978" s="2289"/>
      <c r="BE978" s="2289"/>
      <c r="BF978" s="2289"/>
      <c r="BG978" s="2289"/>
      <c r="BH978" s="2289"/>
      <c r="BI978" s="2289"/>
      <c r="BJ978" s="2289"/>
      <c r="BK978" s="2289"/>
      <c r="BL978" s="2289"/>
      <c r="BM978" s="2289"/>
      <c r="BN978" s="2289"/>
      <c r="BO978" s="2289"/>
      <c r="BP978" s="2289"/>
      <c r="BQ978" s="2289"/>
      <c r="BR978" s="2289"/>
    </row>
    <row r="979" spans="1:70" ht="15.75" customHeight="1">
      <c r="A979" s="2289"/>
      <c r="B979" s="2289"/>
      <c r="C979" s="2289"/>
      <c r="D979" s="2289"/>
      <c r="E979" s="2289"/>
      <c r="F979" s="2289"/>
      <c r="G979" s="2290"/>
      <c r="H979" s="2289"/>
      <c r="I979" s="2289"/>
      <c r="J979" s="2290"/>
      <c r="K979" s="2289"/>
      <c r="L979" s="2289"/>
      <c r="M979" s="2290"/>
      <c r="N979" s="2290"/>
      <c r="O979" s="2290"/>
      <c r="P979" s="2290"/>
      <c r="Q979" s="2289"/>
      <c r="R979" s="2289"/>
      <c r="S979" s="2289"/>
      <c r="T979" s="2291"/>
      <c r="U979" s="2289"/>
      <c r="V979" s="2289"/>
      <c r="W979" s="2289"/>
      <c r="X979" s="2292"/>
      <c r="Y979" s="2292"/>
      <c r="Z979" s="2289"/>
      <c r="AA979" s="2289"/>
      <c r="AB979" s="2289"/>
      <c r="AC979" s="2289"/>
      <c r="AD979" s="2293"/>
      <c r="AE979" s="2293"/>
      <c r="AF979" s="2293"/>
      <c r="AG979" s="2293"/>
      <c r="AH979" s="2289"/>
      <c r="AI979" s="2289"/>
      <c r="AJ979" s="2294"/>
      <c r="AK979" s="2294"/>
      <c r="AL979" s="2289"/>
      <c r="AM979" s="2289"/>
      <c r="AN979" s="2289"/>
      <c r="AO979" s="2289"/>
      <c r="AP979" s="2289"/>
      <c r="AQ979" s="2289"/>
      <c r="AR979" s="2294"/>
      <c r="AS979" s="2294"/>
      <c r="AT979" s="2295"/>
      <c r="AU979" s="2295"/>
      <c r="AV979" s="2295"/>
      <c r="AW979" s="2295"/>
      <c r="AX979" s="2296"/>
      <c r="AY979" s="2289"/>
      <c r="AZ979" s="2289"/>
      <c r="BA979" s="2289"/>
      <c r="BB979" s="2289"/>
      <c r="BC979" s="2289"/>
      <c r="BD979" s="2289"/>
      <c r="BE979" s="2289"/>
      <c r="BF979" s="2289"/>
      <c r="BG979" s="2289"/>
      <c r="BH979" s="2289"/>
      <c r="BI979" s="2289"/>
      <c r="BJ979" s="2289"/>
      <c r="BK979" s="2289"/>
      <c r="BL979" s="2289"/>
      <c r="BM979" s="2289"/>
      <c r="BN979" s="2289"/>
      <c r="BO979" s="2289"/>
      <c r="BP979" s="2289"/>
      <c r="BQ979" s="2289"/>
      <c r="BR979" s="2289"/>
    </row>
    <row r="980" spans="1:70" ht="15.75" customHeight="1">
      <c r="A980" s="2289"/>
      <c r="B980" s="2289"/>
      <c r="C980" s="2289"/>
      <c r="D980" s="2289"/>
      <c r="E980" s="2289"/>
      <c r="F980" s="2289"/>
      <c r="G980" s="2290"/>
      <c r="H980" s="2289"/>
      <c r="I980" s="2289"/>
      <c r="J980" s="2290"/>
      <c r="K980" s="2289"/>
      <c r="L980" s="2289"/>
      <c r="M980" s="2290"/>
      <c r="N980" s="2290"/>
      <c r="O980" s="2290"/>
      <c r="P980" s="2290"/>
      <c r="Q980" s="2289"/>
      <c r="R980" s="2289"/>
      <c r="S980" s="2289"/>
      <c r="T980" s="2291"/>
      <c r="U980" s="2289"/>
      <c r="V980" s="2289"/>
      <c r="W980" s="2289"/>
      <c r="X980" s="2292"/>
      <c r="Y980" s="2292"/>
      <c r="Z980" s="2289"/>
      <c r="AA980" s="2289"/>
      <c r="AB980" s="2289"/>
      <c r="AC980" s="2289"/>
      <c r="AD980" s="2293"/>
      <c r="AE980" s="2293"/>
      <c r="AF980" s="2293"/>
      <c r="AG980" s="2293"/>
      <c r="AH980" s="2289"/>
      <c r="AI980" s="2289"/>
      <c r="AJ980" s="2294"/>
      <c r="AK980" s="2294"/>
      <c r="AL980" s="2289"/>
      <c r="AM980" s="2289"/>
      <c r="AN980" s="2289"/>
      <c r="AO980" s="2289"/>
      <c r="AP980" s="2289"/>
      <c r="AQ980" s="2289"/>
      <c r="AR980" s="2294"/>
      <c r="AS980" s="2294"/>
      <c r="AT980" s="2295"/>
      <c r="AU980" s="2295"/>
      <c r="AV980" s="2295"/>
      <c r="AW980" s="2295"/>
      <c r="AX980" s="2296"/>
      <c r="AY980" s="2289"/>
      <c r="AZ980" s="2289"/>
      <c r="BA980" s="2289"/>
      <c r="BB980" s="2289"/>
      <c r="BC980" s="2289"/>
      <c r="BD980" s="2289"/>
      <c r="BE980" s="2289"/>
      <c r="BF980" s="2289"/>
      <c r="BG980" s="2289"/>
      <c r="BH980" s="2289"/>
      <c r="BI980" s="2289"/>
      <c r="BJ980" s="2289"/>
      <c r="BK980" s="2289"/>
      <c r="BL980" s="2289"/>
      <c r="BM980" s="2289"/>
      <c r="BN980" s="2289"/>
      <c r="BO980" s="2289"/>
      <c r="BP980" s="2289"/>
      <c r="BQ980" s="2289"/>
      <c r="BR980" s="2289"/>
    </row>
    <row r="981" spans="1:70" ht="15.75" customHeight="1">
      <c r="A981" s="2289"/>
      <c r="B981" s="2289"/>
      <c r="C981" s="2289"/>
      <c r="D981" s="2289"/>
      <c r="E981" s="2289"/>
      <c r="F981" s="2289"/>
      <c r="G981" s="2290"/>
      <c r="H981" s="2289"/>
      <c r="I981" s="2289"/>
      <c r="J981" s="2290"/>
      <c r="K981" s="2289"/>
      <c r="L981" s="2289"/>
      <c r="M981" s="2290"/>
      <c r="N981" s="2290"/>
      <c r="O981" s="2290"/>
      <c r="P981" s="2290"/>
      <c r="Q981" s="2289"/>
      <c r="R981" s="2289"/>
      <c r="S981" s="2289"/>
      <c r="T981" s="2291"/>
      <c r="U981" s="2289"/>
      <c r="V981" s="2289"/>
      <c r="W981" s="2289"/>
      <c r="X981" s="2292"/>
      <c r="Y981" s="2292"/>
      <c r="Z981" s="2289"/>
      <c r="AA981" s="2289"/>
      <c r="AB981" s="2289"/>
      <c r="AC981" s="2289"/>
      <c r="AD981" s="2293"/>
      <c r="AE981" s="2293"/>
      <c r="AF981" s="2293"/>
      <c r="AG981" s="2293"/>
      <c r="AH981" s="2289"/>
      <c r="AI981" s="2289"/>
      <c r="AJ981" s="2294"/>
      <c r="AK981" s="2294"/>
      <c r="AL981" s="2289"/>
      <c r="AM981" s="2289"/>
      <c r="AN981" s="2289"/>
      <c r="AO981" s="2289"/>
      <c r="AP981" s="2289"/>
      <c r="AQ981" s="2289"/>
      <c r="AR981" s="2294"/>
      <c r="AS981" s="2294"/>
      <c r="AT981" s="2295"/>
      <c r="AU981" s="2295"/>
      <c r="AV981" s="2295"/>
      <c r="AW981" s="2295"/>
      <c r="AX981" s="2296"/>
      <c r="AY981" s="2289"/>
      <c r="AZ981" s="2289"/>
      <c r="BA981" s="2289"/>
      <c r="BB981" s="2289"/>
      <c r="BC981" s="2289"/>
      <c r="BD981" s="2289"/>
      <c r="BE981" s="2289"/>
      <c r="BF981" s="2289"/>
      <c r="BG981" s="2289"/>
      <c r="BH981" s="2289"/>
      <c r="BI981" s="2289"/>
      <c r="BJ981" s="2289"/>
      <c r="BK981" s="2289"/>
      <c r="BL981" s="2289"/>
      <c r="BM981" s="2289"/>
      <c r="BN981" s="2289"/>
      <c r="BO981" s="2289"/>
      <c r="BP981" s="2289"/>
      <c r="BQ981" s="2289"/>
      <c r="BR981" s="2289"/>
    </row>
    <row r="982" spans="1:70" ht="15.75" customHeight="1">
      <c r="A982" s="2289"/>
      <c r="B982" s="2289"/>
      <c r="C982" s="2289"/>
      <c r="D982" s="2289"/>
      <c r="E982" s="2289"/>
      <c r="F982" s="2289"/>
      <c r="G982" s="2290"/>
      <c r="H982" s="2289"/>
      <c r="I982" s="2289"/>
      <c r="J982" s="2290"/>
      <c r="K982" s="2289"/>
      <c r="L982" s="2289"/>
      <c r="M982" s="2290"/>
      <c r="N982" s="2290"/>
      <c r="O982" s="2290"/>
      <c r="P982" s="2290"/>
      <c r="Q982" s="2289"/>
      <c r="R982" s="2289"/>
      <c r="S982" s="2289"/>
      <c r="T982" s="2291"/>
      <c r="U982" s="2289"/>
      <c r="V982" s="2289"/>
      <c r="W982" s="2289"/>
      <c r="X982" s="2292"/>
      <c r="Y982" s="2292"/>
      <c r="Z982" s="2289"/>
      <c r="AA982" s="2289"/>
      <c r="AB982" s="2289"/>
      <c r="AC982" s="2289"/>
      <c r="AD982" s="2293"/>
      <c r="AE982" s="2293"/>
      <c r="AF982" s="2293"/>
      <c r="AG982" s="2293"/>
      <c r="AH982" s="2289"/>
      <c r="AI982" s="2289"/>
      <c r="AJ982" s="2294"/>
      <c r="AK982" s="2294"/>
      <c r="AL982" s="2289"/>
      <c r="AM982" s="2289"/>
      <c r="AN982" s="2289"/>
      <c r="AO982" s="2289"/>
      <c r="AP982" s="2289"/>
      <c r="AQ982" s="2289"/>
      <c r="AR982" s="2294"/>
      <c r="AS982" s="2294"/>
      <c r="AT982" s="2295"/>
      <c r="AU982" s="2295"/>
      <c r="AV982" s="2295"/>
      <c r="AW982" s="2295"/>
      <c r="AX982" s="2296"/>
      <c r="AY982" s="2289"/>
      <c r="AZ982" s="2289"/>
      <c r="BA982" s="2289"/>
      <c r="BB982" s="2289"/>
      <c r="BC982" s="2289"/>
      <c r="BD982" s="2289"/>
      <c r="BE982" s="2289"/>
      <c r="BF982" s="2289"/>
      <c r="BG982" s="2289"/>
      <c r="BH982" s="2289"/>
      <c r="BI982" s="2289"/>
      <c r="BJ982" s="2289"/>
      <c r="BK982" s="2289"/>
      <c r="BL982" s="2289"/>
      <c r="BM982" s="2289"/>
      <c r="BN982" s="2289"/>
      <c r="BO982" s="2289"/>
      <c r="BP982" s="2289"/>
      <c r="BQ982" s="2289"/>
      <c r="BR982" s="2289"/>
    </row>
    <row r="983" spans="1:70" ht="15.75" customHeight="1">
      <c r="A983" s="2289"/>
      <c r="B983" s="2289"/>
      <c r="C983" s="2289"/>
      <c r="D983" s="2289"/>
      <c r="E983" s="2289"/>
      <c r="F983" s="2289"/>
      <c r="G983" s="2290"/>
      <c r="H983" s="2289"/>
      <c r="I983" s="2289"/>
      <c r="J983" s="2290"/>
      <c r="K983" s="2289"/>
      <c r="L983" s="2289"/>
      <c r="M983" s="2290"/>
      <c r="N983" s="2290"/>
      <c r="O983" s="2290"/>
      <c r="P983" s="2290"/>
      <c r="Q983" s="2289"/>
      <c r="R983" s="2289"/>
      <c r="S983" s="2289"/>
      <c r="T983" s="2291"/>
      <c r="U983" s="2289"/>
      <c r="V983" s="2289"/>
      <c r="W983" s="2289"/>
      <c r="X983" s="2292"/>
      <c r="Y983" s="2292"/>
      <c r="Z983" s="2289"/>
      <c r="AA983" s="2289"/>
      <c r="AB983" s="2289"/>
      <c r="AC983" s="2289"/>
      <c r="AD983" s="2293"/>
      <c r="AE983" s="2293"/>
      <c r="AF983" s="2293"/>
      <c r="AG983" s="2293"/>
      <c r="AH983" s="2289"/>
      <c r="AI983" s="2289"/>
      <c r="AJ983" s="2294"/>
      <c r="AK983" s="2294"/>
      <c r="AL983" s="2289"/>
      <c r="AM983" s="2289"/>
      <c r="AN983" s="2289"/>
      <c r="AO983" s="2289"/>
      <c r="AP983" s="2289"/>
      <c r="AQ983" s="2289"/>
      <c r="AR983" s="2294"/>
      <c r="AS983" s="2294"/>
      <c r="AT983" s="2295"/>
      <c r="AU983" s="2295"/>
      <c r="AV983" s="2295"/>
      <c r="AW983" s="2295"/>
      <c r="AX983" s="2296"/>
      <c r="AY983" s="2289"/>
      <c r="AZ983" s="2289"/>
      <c r="BA983" s="2289"/>
      <c r="BB983" s="2289"/>
      <c r="BC983" s="2289"/>
      <c r="BD983" s="2289"/>
      <c r="BE983" s="2289"/>
      <c r="BF983" s="2289"/>
      <c r="BG983" s="2289"/>
      <c r="BH983" s="2289"/>
      <c r="BI983" s="2289"/>
      <c r="BJ983" s="2289"/>
      <c r="BK983" s="2289"/>
      <c r="BL983" s="2289"/>
      <c r="BM983" s="2289"/>
      <c r="BN983" s="2289"/>
      <c r="BO983" s="2289"/>
      <c r="BP983" s="2289"/>
      <c r="BQ983" s="2289"/>
      <c r="BR983" s="2289"/>
    </row>
    <row r="984" spans="1:70" ht="15.75" customHeight="1">
      <c r="A984" s="2289"/>
      <c r="B984" s="2289"/>
      <c r="C984" s="2289"/>
      <c r="D984" s="2289"/>
      <c r="E984" s="2289"/>
      <c r="F984" s="2289"/>
      <c r="G984" s="2290"/>
      <c r="H984" s="2289"/>
      <c r="I984" s="2289"/>
      <c r="J984" s="2290"/>
      <c r="K984" s="2289"/>
      <c r="L984" s="2289"/>
      <c r="M984" s="2290"/>
      <c r="N984" s="2290"/>
      <c r="O984" s="2290"/>
      <c r="P984" s="2290"/>
      <c r="Q984" s="2289"/>
      <c r="R984" s="2289"/>
      <c r="S984" s="2289"/>
      <c r="T984" s="2291"/>
      <c r="U984" s="2289"/>
      <c r="V984" s="2289"/>
      <c r="W984" s="2289"/>
      <c r="X984" s="2292"/>
      <c r="Y984" s="2292"/>
      <c r="Z984" s="2289"/>
      <c r="AA984" s="2289"/>
      <c r="AB984" s="2289"/>
      <c r="AC984" s="2289"/>
      <c r="AD984" s="2293"/>
      <c r="AE984" s="2293"/>
      <c r="AF984" s="2293"/>
      <c r="AG984" s="2293"/>
      <c r="AH984" s="2289"/>
      <c r="AI984" s="2289"/>
      <c r="AJ984" s="2294"/>
      <c r="AK984" s="2294"/>
      <c r="AL984" s="2289"/>
      <c r="AM984" s="2289"/>
      <c r="AN984" s="2289"/>
      <c r="AO984" s="2289"/>
      <c r="AP984" s="2289"/>
      <c r="AQ984" s="2289"/>
      <c r="AR984" s="2294"/>
      <c r="AS984" s="2294"/>
      <c r="AT984" s="2295"/>
      <c r="AU984" s="2295"/>
      <c r="AV984" s="2295"/>
      <c r="AW984" s="2295"/>
      <c r="AX984" s="2296"/>
      <c r="AY984" s="2289"/>
      <c r="AZ984" s="2289"/>
      <c r="BA984" s="2289"/>
      <c r="BB984" s="2289"/>
      <c r="BC984" s="2289"/>
      <c r="BD984" s="2289"/>
      <c r="BE984" s="2289"/>
      <c r="BF984" s="2289"/>
      <c r="BG984" s="2289"/>
      <c r="BH984" s="2289"/>
      <c r="BI984" s="2289"/>
      <c r="BJ984" s="2289"/>
      <c r="BK984" s="2289"/>
      <c r="BL984" s="2289"/>
      <c r="BM984" s="2289"/>
      <c r="BN984" s="2289"/>
      <c r="BO984" s="2289"/>
      <c r="BP984" s="2289"/>
      <c r="BQ984" s="2289"/>
      <c r="BR984" s="2289"/>
    </row>
    <row r="985" spans="1:70" ht="15.75" customHeight="1">
      <c r="A985" s="2289"/>
      <c r="B985" s="2289"/>
      <c r="C985" s="2289"/>
      <c r="D985" s="2289"/>
      <c r="E985" s="2289"/>
      <c r="F985" s="2289"/>
      <c r="G985" s="2290"/>
      <c r="H985" s="2289"/>
      <c r="I985" s="2289"/>
      <c r="J985" s="2290"/>
      <c r="K985" s="2289"/>
      <c r="L985" s="2289"/>
      <c r="M985" s="2290"/>
      <c r="N985" s="2290"/>
      <c r="O985" s="2290"/>
      <c r="P985" s="2290"/>
      <c r="Q985" s="2289"/>
      <c r="R985" s="2289"/>
      <c r="S985" s="2289"/>
      <c r="T985" s="2291"/>
      <c r="U985" s="2289"/>
      <c r="V985" s="2289"/>
      <c r="W985" s="2289"/>
      <c r="X985" s="2292"/>
      <c r="Y985" s="2292"/>
      <c r="Z985" s="2289"/>
      <c r="AA985" s="2289"/>
      <c r="AB985" s="2289"/>
      <c r="AC985" s="2289"/>
      <c r="AD985" s="2293"/>
      <c r="AE985" s="2293"/>
      <c r="AF985" s="2293"/>
      <c r="AG985" s="2293"/>
      <c r="AH985" s="2289"/>
      <c r="AI985" s="2289"/>
      <c r="AJ985" s="2294"/>
      <c r="AK985" s="2294"/>
      <c r="AL985" s="2289"/>
      <c r="AM985" s="2289"/>
      <c r="AN985" s="2289"/>
      <c r="AO985" s="2289"/>
      <c r="AP985" s="2289"/>
      <c r="AQ985" s="2289"/>
      <c r="AR985" s="2294"/>
      <c r="AS985" s="2294"/>
      <c r="AT985" s="2295"/>
      <c r="AU985" s="2295"/>
      <c r="AV985" s="2295"/>
      <c r="AW985" s="2295"/>
      <c r="AX985" s="2296"/>
      <c r="AY985" s="2289"/>
      <c r="AZ985" s="2289"/>
      <c r="BA985" s="2289"/>
      <c r="BB985" s="2289"/>
      <c r="BC985" s="2289"/>
      <c r="BD985" s="2289"/>
      <c r="BE985" s="2289"/>
      <c r="BF985" s="2289"/>
      <c r="BG985" s="2289"/>
      <c r="BH985" s="2289"/>
      <c r="BI985" s="2289"/>
      <c r="BJ985" s="2289"/>
      <c r="BK985" s="2289"/>
      <c r="BL985" s="2289"/>
      <c r="BM985" s="2289"/>
      <c r="BN985" s="2289"/>
      <c r="BO985" s="2289"/>
      <c r="BP985" s="2289"/>
      <c r="BQ985" s="2289"/>
      <c r="BR985" s="2289"/>
    </row>
    <row r="986" spans="1:70" ht="15.75" customHeight="1">
      <c r="A986" s="2289"/>
      <c r="B986" s="2289"/>
      <c r="C986" s="2289"/>
      <c r="D986" s="2289"/>
      <c r="E986" s="2289"/>
      <c r="F986" s="2289"/>
      <c r="G986" s="2290"/>
      <c r="H986" s="2289"/>
      <c r="I986" s="2289"/>
      <c r="J986" s="2290"/>
      <c r="K986" s="2289"/>
      <c r="L986" s="2289"/>
      <c r="M986" s="2290"/>
      <c r="N986" s="2290"/>
      <c r="O986" s="2290"/>
      <c r="P986" s="2290"/>
      <c r="Q986" s="2289"/>
      <c r="R986" s="2289"/>
      <c r="S986" s="2289"/>
      <c r="T986" s="2291"/>
      <c r="U986" s="2289"/>
      <c r="V986" s="2289"/>
      <c r="W986" s="2289"/>
      <c r="X986" s="2292"/>
      <c r="Y986" s="2292"/>
      <c r="Z986" s="2289"/>
      <c r="AA986" s="2289"/>
      <c r="AB986" s="2289"/>
      <c r="AC986" s="2289"/>
      <c r="AD986" s="2293"/>
      <c r="AE986" s="2293"/>
      <c r="AF986" s="2293"/>
      <c r="AG986" s="2293"/>
      <c r="AH986" s="2289"/>
      <c r="AI986" s="2289"/>
      <c r="AJ986" s="2294"/>
      <c r="AK986" s="2294"/>
      <c r="AL986" s="2289"/>
      <c r="AM986" s="2289"/>
      <c r="AN986" s="2289"/>
      <c r="AO986" s="2289"/>
      <c r="AP986" s="2289"/>
      <c r="AQ986" s="2289"/>
      <c r="AR986" s="2294"/>
      <c r="AS986" s="2294"/>
      <c r="AT986" s="2295"/>
      <c r="AU986" s="2295"/>
      <c r="AV986" s="2295"/>
      <c r="AW986" s="2295"/>
      <c r="AX986" s="2296"/>
      <c r="AY986" s="2289"/>
      <c r="AZ986" s="2289"/>
      <c r="BA986" s="2289"/>
      <c r="BB986" s="2289"/>
      <c r="BC986" s="2289"/>
      <c r="BD986" s="2289"/>
      <c r="BE986" s="2289"/>
      <c r="BF986" s="2289"/>
      <c r="BG986" s="2289"/>
      <c r="BH986" s="2289"/>
      <c r="BI986" s="2289"/>
      <c r="BJ986" s="2289"/>
      <c r="BK986" s="2289"/>
      <c r="BL986" s="2289"/>
      <c r="BM986" s="2289"/>
      <c r="BN986" s="2289"/>
      <c r="BO986" s="2289"/>
      <c r="BP986" s="2289"/>
      <c r="BQ986" s="2289"/>
      <c r="BR986" s="2289"/>
    </row>
    <row r="987" spans="1:70" ht="15.75" customHeight="1">
      <c r="A987" s="2289"/>
      <c r="B987" s="2289"/>
      <c r="C987" s="2289"/>
      <c r="D987" s="2289"/>
      <c r="E987" s="2289"/>
      <c r="F987" s="2289"/>
      <c r="G987" s="2290"/>
      <c r="H987" s="2289"/>
      <c r="I987" s="2289"/>
      <c r="J987" s="2290"/>
      <c r="K987" s="2289"/>
      <c r="L987" s="2289"/>
      <c r="M987" s="2290"/>
      <c r="N987" s="2290"/>
      <c r="O987" s="2290"/>
      <c r="P987" s="2290"/>
      <c r="Q987" s="2289"/>
      <c r="R987" s="2289"/>
      <c r="S987" s="2289"/>
      <c r="T987" s="2291"/>
      <c r="U987" s="2289"/>
      <c r="V987" s="2289"/>
      <c r="W987" s="2289"/>
      <c r="X987" s="2292"/>
      <c r="Y987" s="2292"/>
      <c r="Z987" s="2289"/>
      <c r="AA987" s="2289"/>
      <c r="AB987" s="2289"/>
      <c r="AC987" s="2289"/>
      <c r="AD987" s="2293"/>
      <c r="AE987" s="2293"/>
      <c r="AF987" s="2293"/>
      <c r="AG987" s="2293"/>
      <c r="AH987" s="2289"/>
      <c r="AI987" s="2289"/>
      <c r="AJ987" s="2294"/>
      <c r="AK987" s="2294"/>
      <c r="AL987" s="2289"/>
      <c r="AM987" s="2289"/>
      <c r="AN987" s="2289"/>
      <c r="AO987" s="2289"/>
      <c r="AP987" s="2289"/>
      <c r="AQ987" s="2289"/>
      <c r="AR987" s="2294"/>
      <c r="AS987" s="2294"/>
      <c r="AT987" s="2295"/>
      <c r="AU987" s="2295"/>
      <c r="AV987" s="2295"/>
      <c r="AW987" s="2295"/>
      <c r="AX987" s="2296"/>
      <c r="AY987" s="2289"/>
      <c r="AZ987" s="2289"/>
      <c r="BA987" s="2289"/>
      <c r="BB987" s="2289"/>
      <c r="BC987" s="2289"/>
      <c r="BD987" s="2289"/>
      <c r="BE987" s="2289"/>
      <c r="BF987" s="2289"/>
      <c r="BG987" s="2289"/>
      <c r="BH987" s="2289"/>
      <c r="BI987" s="2289"/>
      <c r="BJ987" s="2289"/>
      <c r="BK987" s="2289"/>
      <c r="BL987" s="2289"/>
      <c r="BM987" s="2289"/>
      <c r="BN987" s="2289"/>
      <c r="BO987" s="2289"/>
      <c r="BP987" s="2289"/>
      <c r="BQ987" s="2289"/>
      <c r="BR987" s="2289"/>
    </row>
    <row r="988" spans="1:70" ht="15.75" customHeight="1">
      <c r="A988" s="2289"/>
      <c r="B988" s="2289"/>
      <c r="C988" s="2289"/>
      <c r="D988" s="2289"/>
      <c r="E988" s="2289"/>
      <c r="F988" s="2289"/>
      <c r="G988" s="2290"/>
      <c r="H988" s="2289"/>
      <c r="I988" s="2289"/>
      <c r="J988" s="2290"/>
      <c r="K988" s="2289"/>
      <c r="L988" s="2289"/>
      <c r="M988" s="2290"/>
      <c r="N988" s="2290"/>
      <c r="O988" s="2290"/>
      <c r="P988" s="2290"/>
      <c r="Q988" s="2289"/>
      <c r="R988" s="2289"/>
      <c r="S988" s="2289"/>
      <c r="T988" s="2291"/>
      <c r="U988" s="2289"/>
      <c r="V988" s="2289"/>
      <c r="W988" s="2289"/>
      <c r="X988" s="2292"/>
      <c r="Y988" s="2292"/>
      <c r="Z988" s="2289"/>
      <c r="AA988" s="2289"/>
      <c r="AB988" s="2289"/>
      <c r="AC988" s="2289"/>
      <c r="AD988" s="2293"/>
      <c r="AE988" s="2293"/>
      <c r="AF988" s="2293"/>
      <c r="AG988" s="2293"/>
      <c r="AH988" s="2289"/>
      <c r="AI988" s="2289"/>
      <c r="AJ988" s="2294"/>
      <c r="AK988" s="2294"/>
      <c r="AL988" s="2289"/>
      <c r="AM988" s="2289"/>
      <c r="AN988" s="2289"/>
      <c r="AO988" s="2289"/>
      <c r="AP988" s="2289"/>
      <c r="AQ988" s="2289"/>
      <c r="AR988" s="2294"/>
      <c r="AS988" s="2294"/>
      <c r="AT988" s="2295"/>
      <c r="AU988" s="2295"/>
      <c r="AV988" s="2295"/>
      <c r="AW988" s="2295"/>
      <c r="AX988" s="2296"/>
      <c r="AY988" s="2289"/>
      <c r="AZ988" s="2289"/>
      <c r="BA988" s="2289"/>
      <c r="BB988" s="2289"/>
      <c r="BC988" s="2289"/>
      <c r="BD988" s="2289"/>
      <c r="BE988" s="2289"/>
      <c r="BF988" s="2289"/>
      <c r="BG988" s="2289"/>
      <c r="BH988" s="2289"/>
      <c r="BI988" s="2289"/>
      <c r="BJ988" s="2289"/>
      <c r="BK988" s="2289"/>
      <c r="BL988" s="2289"/>
      <c r="BM988" s="2289"/>
      <c r="BN988" s="2289"/>
      <c r="BO988" s="2289"/>
      <c r="BP988" s="2289"/>
      <c r="BQ988" s="2289"/>
      <c r="BR988" s="2289"/>
    </row>
    <row r="989" spans="1:70" ht="15.75" customHeight="1">
      <c r="A989" s="2289"/>
      <c r="B989" s="2289"/>
      <c r="C989" s="2289"/>
      <c r="D989" s="2289"/>
      <c r="E989" s="2289"/>
      <c r="F989" s="2289"/>
      <c r="G989" s="2290"/>
      <c r="H989" s="2289"/>
      <c r="I989" s="2289"/>
      <c r="J989" s="2290"/>
      <c r="K989" s="2289"/>
      <c r="L989" s="2289"/>
      <c r="M989" s="2290"/>
      <c r="N989" s="2290"/>
      <c r="O989" s="2290"/>
      <c r="P989" s="2290"/>
      <c r="Q989" s="2289"/>
      <c r="R989" s="2289"/>
      <c r="S989" s="2289"/>
      <c r="T989" s="2291"/>
      <c r="U989" s="2289"/>
      <c r="V989" s="2289"/>
      <c r="W989" s="2289"/>
      <c r="X989" s="2292"/>
      <c r="Y989" s="2292"/>
      <c r="Z989" s="2289"/>
      <c r="AA989" s="2289"/>
      <c r="AB989" s="2289"/>
      <c r="AC989" s="2289"/>
      <c r="AD989" s="2293"/>
      <c r="AE989" s="2293"/>
      <c r="AF989" s="2293"/>
      <c r="AG989" s="2293"/>
      <c r="AH989" s="2289"/>
      <c r="AI989" s="2289"/>
      <c r="AJ989" s="2294"/>
      <c r="AK989" s="2294"/>
      <c r="AL989" s="2289"/>
      <c r="AM989" s="2289"/>
      <c r="AN989" s="2289"/>
      <c r="AO989" s="2289"/>
      <c r="AP989" s="2289"/>
      <c r="AQ989" s="2289"/>
      <c r="AR989" s="2294"/>
      <c r="AS989" s="2294"/>
      <c r="AT989" s="2295"/>
      <c r="AU989" s="2295"/>
      <c r="AV989" s="2295"/>
      <c r="AW989" s="2295"/>
      <c r="AX989" s="2296"/>
      <c r="AY989" s="2289"/>
      <c r="AZ989" s="2289"/>
      <c r="BA989" s="2289"/>
      <c r="BB989" s="2289"/>
      <c r="BC989" s="2289"/>
      <c r="BD989" s="2289"/>
      <c r="BE989" s="2289"/>
      <c r="BF989" s="2289"/>
      <c r="BG989" s="2289"/>
      <c r="BH989" s="2289"/>
      <c r="BI989" s="2289"/>
      <c r="BJ989" s="2289"/>
      <c r="BK989" s="2289"/>
      <c r="BL989" s="2289"/>
      <c r="BM989" s="2289"/>
      <c r="BN989" s="2289"/>
      <c r="BO989" s="2289"/>
      <c r="BP989" s="2289"/>
      <c r="BQ989" s="2289"/>
      <c r="BR989" s="2289"/>
    </row>
    <row r="990" spans="1:70" ht="15.75" customHeight="1">
      <c r="A990" s="2289"/>
      <c r="B990" s="2289"/>
      <c r="C990" s="2289"/>
      <c r="D990" s="2289"/>
      <c r="E990" s="2289"/>
      <c r="F990" s="2289"/>
      <c r="G990" s="2290"/>
      <c r="H990" s="2289"/>
      <c r="I990" s="2289"/>
      <c r="J990" s="2290"/>
      <c r="K990" s="2289"/>
      <c r="L990" s="2289"/>
      <c r="M990" s="2290"/>
      <c r="N990" s="2290"/>
      <c r="O990" s="2290"/>
      <c r="P990" s="2290"/>
      <c r="Q990" s="2289"/>
      <c r="R990" s="2289"/>
      <c r="S990" s="2289"/>
      <c r="T990" s="2291"/>
      <c r="U990" s="2289"/>
      <c r="V990" s="2289"/>
      <c r="W990" s="2289"/>
      <c r="X990" s="2292"/>
      <c r="Y990" s="2292"/>
      <c r="Z990" s="2289"/>
      <c r="AA990" s="2289"/>
      <c r="AB990" s="2289"/>
      <c r="AC990" s="2289"/>
      <c r="AD990" s="2293"/>
      <c r="AE990" s="2293"/>
      <c r="AF990" s="2293"/>
      <c r="AG990" s="2293"/>
      <c r="AH990" s="2289"/>
      <c r="AI990" s="2289"/>
      <c r="AJ990" s="2294"/>
      <c r="AK990" s="2294"/>
      <c r="AL990" s="2289"/>
      <c r="AM990" s="2289"/>
      <c r="AN990" s="2289"/>
      <c r="AO990" s="2289"/>
      <c r="AP990" s="2289"/>
      <c r="AQ990" s="2289"/>
      <c r="AR990" s="2294"/>
      <c r="AS990" s="2294"/>
      <c r="AT990" s="2295"/>
      <c r="AU990" s="2295"/>
      <c r="AV990" s="2295"/>
      <c r="AW990" s="2295"/>
      <c r="AX990" s="2296"/>
      <c r="AY990" s="2289"/>
      <c r="AZ990" s="2289"/>
      <c r="BA990" s="2289"/>
      <c r="BB990" s="2289"/>
      <c r="BC990" s="2289"/>
      <c r="BD990" s="2289"/>
      <c r="BE990" s="2289"/>
      <c r="BF990" s="2289"/>
      <c r="BG990" s="2289"/>
      <c r="BH990" s="2289"/>
      <c r="BI990" s="2289"/>
      <c r="BJ990" s="2289"/>
      <c r="BK990" s="2289"/>
      <c r="BL990" s="2289"/>
      <c r="BM990" s="2289"/>
      <c r="BN990" s="2289"/>
      <c r="BO990" s="2289"/>
      <c r="BP990" s="2289"/>
      <c r="BQ990" s="2289"/>
      <c r="BR990" s="2289"/>
    </row>
    <row r="991" spans="1:70" ht="15.75" customHeight="1">
      <c r="A991" s="2289"/>
      <c r="B991" s="2289"/>
      <c r="C991" s="2289"/>
      <c r="D991" s="2289"/>
      <c r="E991" s="2289"/>
      <c r="F991" s="2289"/>
      <c r="G991" s="2290"/>
      <c r="H991" s="2289"/>
      <c r="I991" s="2289"/>
      <c r="J991" s="2290"/>
      <c r="K991" s="2289"/>
      <c r="L991" s="2289"/>
      <c r="M991" s="2290"/>
      <c r="N991" s="2290"/>
      <c r="O991" s="2290"/>
      <c r="P991" s="2290"/>
      <c r="Q991" s="2289"/>
      <c r="R991" s="2289"/>
      <c r="S991" s="2289"/>
      <c r="T991" s="2291"/>
      <c r="U991" s="2289"/>
      <c r="V991" s="2289"/>
      <c r="W991" s="2289"/>
      <c r="X991" s="2292"/>
      <c r="Y991" s="2292"/>
      <c r="Z991" s="2289"/>
      <c r="AA991" s="2289"/>
      <c r="AB991" s="2289"/>
      <c r="AC991" s="2289"/>
      <c r="AD991" s="2293"/>
      <c r="AE991" s="2293"/>
      <c r="AF991" s="2293"/>
      <c r="AG991" s="2293"/>
      <c r="AH991" s="2289"/>
      <c r="AI991" s="2289"/>
      <c r="AJ991" s="2294"/>
      <c r="AK991" s="2294"/>
      <c r="AL991" s="2289"/>
      <c r="AM991" s="2289"/>
      <c r="AN991" s="2289"/>
      <c r="AO991" s="2289"/>
      <c r="AP991" s="2289"/>
      <c r="AQ991" s="2289"/>
      <c r="AR991" s="2294"/>
      <c r="AS991" s="2294"/>
      <c r="AT991" s="2295"/>
      <c r="AU991" s="2295"/>
      <c r="AV991" s="2295"/>
      <c r="AW991" s="2295"/>
      <c r="AX991" s="2296"/>
      <c r="AY991" s="2289"/>
      <c r="AZ991" s="2289"/>
      <c r="BA991" s="2289"/>
      <c r="BB991" s="2289"/>
      <c r="BC991" s="2289"/>
      <c r="BD991" s="2289"/>
      <c r="BE991" s="2289"/>
      <c r="BF991" s="2289"/>
      <c r="BG991" s="2289"/>
      <c r="BH991" s="2289"/>
      <c r="BI991" s="2289"/>
      <c r="BJ991" s="2289"/>
      <c r="BK991" s="2289"/>
      <c r="BL991" s="2289"/>
      <c r="BM991" s="2289"/>
      <c r="BN991" s="2289"/>
      <c r="BO991" s="2289"/>
      <c r="BP991" s="2289"/>
      <c r="BQ991" s="2289"/>
      <c r="BR991" s="2289"/>
    </row>
    <row r="992" spans="1:70" ht="15.75" customHeight="1">
      <c r="A992" s="2289"/>
      <c r="B992" s="2289"/>
      <c r="C992" s="2289"/>
      <c r="D992" s="2289"/>
      <c r="E992" s="2289"/>
      <c r="F992" s="2289"/>
      <c r="G992" s="2290"/>
      <c r="H992" s="2289"/>
      <c r="I992" s="2289"/>
      <c r="J992" s="2290"/>
      <c r="K992" s="2289"/>
      <c r="L992" s="2289"/>
      <c r="M992" s="2290"/>
      <c r="N992" s="2290"/>
      <c r="O992" s="2290"/>
      <c r="P992" s="2290"/>
      <c r="Q992" s="2289"/>
      <c r="R992" s="2289"/>
      <c r="S992" s="2289"/>
      <c r="T992" s="2291"/>
      <c r="U992" s="2289"/>
      <c r="V992" s="2289"/>
      <c r="W992" s="2289"/>
      <c r="X992" s="2292"/>
      <c r="Y992" s="2292"/>
      <c r="Z992" s="2289"/>
      <c r="AA992" s="2289"/>
      <c r="AB992" s="2289"/>
      <c r="AC992" s="2289"/>
      <c r="AD992" s="2293"/>
      <c r="AE992" s="2293"/>
      <c r="AF992" s="2293"/>
      <c r="AG992" s="2293"/>
      <c r="AH992" s="2289"/>
      <c r="AI992" s="2289"/>
      <c r="AJ992" s="2294"/>
      <c r="AK992" s="2294"/>
      <c r="AL992" s="2289"/>
      <c r="AM992" s="2289"/>
      <c r="AN992" s="2289"/>
      <c r="AO992" s="2289"/>
      <c r="AP992" s="2289"/>
      <c r="AQ992" s="2289"/>
      <c r="AR992" s="2294"/>
      <c r="AS992" s="2294"/>
      <c r="AT992" s="2295"/>
      <c r="AU992" s="2295"/>
      <c r="AV992" s="2295"/>
      <c r="AW992" s="2295"/>
      <c r="AX992" s="2296"/>
      <c r="AY992" s="2289"/>
      <c r="AZ992" s="2289"/>
      <c r="BA992" s="2289"/>
      <c r="BB992" s="2289"/>
      <c r="BC992" s="2289"/>
      <c r="BD992" s="2289"/>
      <c r="BE992" s="2289"/>
      <c r="BF992" s="2289"/>
      <c r="BG992" s="2289"/>
      <c r="BH992" s="2289"/>
      <c r="BI992" s="2289"/>
      <c r="BJ992" s="2289"/>
      <c r="BK992" s="2289"/>
      <c r="BL992" s="2289"/>
      <c r="BM992" s="2289"/>
      <c r="BN992" s="2289"/>
      <c r="BO992" s="2289"/>
      <c r="BP992" s="2289"/>
      <c r="BQ992" s="2289"/>
      <c r="BR992" s="2289"/>
    </row>
    <row r="993" spans="1:70" ht="15.75" customHeight="1">
      <c r="A993" s="2289"/>
      <c r="B993" s="2289"/>
      <c r="C993" s="2289"/>
      <c r="D993" s="2289"/>
      <c r="E993" s="2289"/>
      <c r="F993" s="2289"/>
      <c r="G993" s="2290"/>
      <c r="H993" s="2289"/>
      <c r="I993" s="2289"/>
      <c r="J993" s="2290"/>
      <c r="K993" s="2289"/>
      <c r="L993" s="2289"/>
      <c r="M993" s="2290"/>
      <c r="N993" s="2290"/>
      <c r="O993" s="2290"/>
      <c r="P993" s="2290"/>
      <c r="Q993" s="2289"/>
      <c r="R993" s="2289"/>
      <c r="S993" s="2289"/>
      <c r="T993" s="2291"/>
      <c r="U993" s="2289"/>
      <c r="V993" s="2289"/>
      <c r="W993" s="2289"/>
      <c r="X993" s="2292"/>
      <c r="Y993" s="2292"/>
      <c r="Z993" s="2289"/>
      <c r="AA993" s="2289"/>
      <c r="AB993" s="2289"/>
      <c r="AC993" s="2289"/>
      <c r="AD993" s="2293"/>
      <c r="AE993" s="2293"/>
      <c r="AF993" s="2293"/>
      <c r="AG993" s="2293"/>
      <c r="AH993" s="2289"/>
      <c r="AI993" s="2289"/>
      <c r="AJ993" s="2294"/>
      <c r="AK993" s="2294"/>
      <c r="AL993" s="2289"/>
      <c r="AM993" s="2289"/>
      <c r="AN993" s="2289"/>
      <c r="AO993" s="2289"/>
      <c r="AP993" s="2289"/>
      <c r="AQ993" s="2289"/>
      <c r="AR993" s="2294"/>
      <c r="AS993" s="2294"/>
      <c r="AT993" s="2295"/>
      <c r="AU993" s="2295"/>
      <c r="AV993" s="2295"/>
      <c r="AW993" s="2295"/>
      <c r="AX993" s="2296"/>
      <c r="AY993" s="2289"/>
      <c r="AZ993" s="2289"/>
      <c r="BA993" s="2289"/>
      <c r="BB993" s="2289"/>
      <c r="BC993" s="2289"/>
      <c r="BD993" s="2289"/>
      <c r="BE993" s="2289"/>
      <c r="BF993" s="2289"/>
      <c r="BG993" s="2289"/>
      <c r="BH993" s="2289"/>
      <c r="BI993" s="2289"/>
      <c r="BJ993" s="2289"/>
      <c r="BK993" s="2289"/>
      <c r="BL993" s="2289"/>
      <c r="BM993" s="2289"/>
      <c r="BN993" s="2289"/>
      <c r="BO993" s="2289"/>
      <c r="BP993" s="2289"/>
      <c r="BQ993" s="2289"/>
      <c r="BR993" s="2289"/>
    </row>
    <row r="994" spans="1:70" ht="15.75" customHeight="1">
      <c r="A994" s="2289"/>
      <c r="B994" s="2289"/>
      <c r="C994" s="2289"/>
      <c r="D994" s="2289"/>
      <c r="E994" s="2289"/>
      <c r="F994" s="2289"/>
      <c r="G994" s="2290"/>
      <c r="H994" s="2289"/>
      <c r="I994" s="2289"/>
      <c r="J994" s="2290"/>
      <c r="K994" s="2289"/>
      <c r="L994" s="2289"/>
      <c r="M994" s="2290"/>
      <c r="N994" s="2290"/>
      <c r="O994" s="2290"/>
      <c r="P994" s="2290"/>
      <c r="Q994" s="2289"/>
      <c r="R994" s="2289"/>
      <c r="S994" s="2289"/>
      <c r="T994" s="2291"/>
      <c r="U994" s="2289"/>
      <c r="V994" s="2289"/>
      <c r="W994" s="2289"/>
      <c r="X994" s="2292"/>
      <c r="Y994" s="2292"/>
      <c r="Z994" s="2289"/>
      <c r="AA994" s="2289"/>
      <c r="AB994" s="2289"/>
      <c r="AC994" s="2289"/>
      <c r="AD994" s="2293"/>
      <c r="AE994" s="2293"/>
      <c r="AF994" s="2293"/>
      <c r="AG994" s="2293"/>
      <c r="AH994" s="2289"/>
      <c r="AI994" s="2289"/>
      <c r="AJ994" s="2294"/>
      <c r="AK994" s="2294"/>
      <c r="AL994" s="2289"/>
      <c r="AM994" s="2289"/>
      <c r="AN994" s="2289"/>
      <c r="AO994" s="2289"/>
      <c r="AP994" s="2289"/>
      <c r="AQ994" s="2289"/>
      <c r="AR994" s="2294"/>
      <c r="AS994" s="2294"/>
      <c r="AT994" s="2295"/>
      <c r="AU994" s="2295"/>
      <c r="AV994" s="2295"/>
      <c r="AW994" s="2295"/>
      <c r="AX994" s="2296"/>
      <c r="AY994" s="2289"/>
      <c r="AZ994" s="2289"/>
      <c r="BA994" s="2289"/>
      <c r="BB994" s="2289"/>
      <c r="BC994" s="2289"/>
      <c r="BD994" s="2289"/>
      <c r="BE994" s="2289"/>
      <c r="BF994" s="2289"/>
      <c r="BG994" s="2289"/>
      <c r="BH994" s="2289"/>
      <c r="BI994" s="2289"/>
      <c r="BJ994" s="2289"/>
      <c r="BK994" s="2289"/>
      <c r="BL994" s="2289"/>
      <c r="BM994" s="2289"/>
      <c r="BN994" s="2289"/>
      <c r="BO994" s="2289"/>
      <c r="BP994" s="2289"/>
      <c r="BQ994" s="2289"/>
      <c r="BR994" s="2289"/>
    </row>
    <row r="995" spans="1:70" ht="15.75" customHeight="1">
      <c r="A995" s="2289"/>
      <c r="B995" s="2289"/>
      <c r="C995" s="2289"/>
      <c r="D995" s="2289"/>
      <c r="E995" s="2289"/>
      <c r="F995" s="2289"/>
      <c r="G995" s="2290"/>
      <c r="H995" s="2289"/>
      <c r="I995" s="2289"/>
      <c r="J995" s="2290"/>
      <c r="K995" s="2289"/>
      <c r="L995" s="2289"/>
      <c r="M995" s="2290"/>
      <c r="N995" s="2290"/>
      <c r="O995" s="2290"/>
      <c r="P995" s="2290"/>
      <c r="Q995" s="2289"/>
      <c r="R995" s="2289"/>
      <c r="S995" s="2289"/>
      <c r="T995" s="2291"/>
      <c r="U995" s="2289"/>
      <c r="V995" s="2289"/>
      <c r="W995" s="2289"/>
      <c r="X995" s="2292"/>
      <c r="Y995" s="2292"/>
      <c r="Z995" s="2289"/>
      <c r="AA995" s="2289"/>
      <c r="AB995" s="2289"/>
      <c r="AC995" s="2289"/>
      <c r="AD995" s="2293"/>
      <c r="AE995" s="2293"/>
      <c r="AF995" s="2293"/>
      <c r="AG995" s="2293"/>
      <c r="AH995" s="2289"/>
      <c r="AI995" s="2289"/>
      <c r="AJ995" s="2294"/>
      <c r="AK995" s="2294"/>
      <c r="AL995" s="2289"/>
      <c r="AM995" s="2289"/>
      <c r="AN995" s="2289"/>
      <c r="AO995" s="2289"/>
      <c r="AP995" s="2289"/>
      <c r="AQ995" s="2289"/>
      <c r="AR995" s="2294"/>
      <c r="AS995" s="2294"/>
      <c r="AT995" s="2295"/>
      <c r="AU995" s="2295"/>
      <c r="AV995" s="2295"/>
      <c r="AW995" s="2295"/>
      <c r="AX995" s="2296"/>
      <c r="AY995" s="2289"/>
      <c r="AZ995" s="2289"/>
      <c r="BA995" s="2289"/>
      <c r="BB995" s="2289"/>
      <c r="BC995" s="2289"/>
      <c r="BD995" s="2289"/>
      <c r="BE995" s="2289"/>
      <c r="BF995" s="2289"/>
      <c r="BG995" s="2289"/>
      <c r="BH995" s="2289"/>
      <c r="BI995" s="2289"/>
      <c r="BJ995" s="2289"/>
      <c r="BK995" s="2289"/>
      <c r="BL995" s="2289"/>
      <c r="BM995" s="2289"/>
      <c r="BN995" s="2289"/>
      <c r="BO995" s="2289"/>
      <c r="BP995" s="2289"/>
      <c r="BQ995" s="2289"/>
      <c r="BR995" s="2289"/>
    </row>
    <row r="996" spans="1:70" ht="15.75" customHeight="1">
      <c r="A996" s="2289"/>
      <c r="B996" s="2289"/>
      <c r="C996" s="2289"/>
      <c r="D996" s="2289"/>
      <c r="E996" s="2289"/>
      <c r="F996" s="2289"/>
      <c r="G996" s="2290"/>
      <c r="H996" s="2289"/>
      <c r="I996" s="2289"/>
      <c r="J996" s="2290"/>
      <c r="K996" s="2289"/>
      <c r="L996" s="2289"/>
      <c r="M996" s="2290"/>
      <c r="N996" s="2290"/>
      <c r="O996" s="2290"/>
      <c r="P996" s="2290"/>
      <c r="Q996" s="2289"/>
      <c r="R996" s="2289"/>
      <c r="S996" s="2289"/>
      <c r="T996" s="2291"/>
      <c r="U996" s="2289"/>
      <c r="V996" s="2289"/>
      <c r="W996" s="2289"/>
      <c r="X996" s="2292"/>
      <c r="Y996" s="2292"/>
      <c r="Z996" s="2289"/>
      <c r="AA996" s="2289"/>
      <c r="AB996" s="2289"/>
      <c r="AC996" s="2289"/>
      <c r="AD996" s="2293"/>
      <c r="AE996" s="2293"/>
      <c r="AF996" s="2293"/>
      <c r="AG996" s="2293"/>
      <c r="AH996" s="2289"/>
      <c r="AI996" s="2289"/>
      <c r="AJ996" s="2294"/>
      <c r="AK996" s="2294"/>
      <c r="AL996" s="2289"/>
      <c r="AM996" s="2289"/>
      <c r="AN996" s="2289"/>
      <c r="AO996" s="2289"/>
      <c r="AP996" s="2289"/>
      <c r="AQ996" s="2289"/>
      <c r="AR996" s="2294"/>
      <c r="AS996" s="2294"/>
      <c r="AT996" s="2295"/>
      <c r="AU996" s="2295"/>
      <c r="AV996" s="2295"/>
      <c r="AW996" s="2295"/>
      <c r="AX996" s="2296"/>
      <c r="AY996" s="2289"/>
      <c r="AZ996" s="2289"/>
      <c r="BA996" s="2289"/>
      <c r="BB996" s="2289"/>
      <c r="BC996" s="2289"/>
      <c r="BD996" s="2289"/>
      <c r="BE996" s="2289"/>
      <c r="BF996" s="2289"/>
      <c r="BG996" s="2289"/>
      <c r="BH996" s="2289"/>
      <c r="BI996" s="2289"/>
      <c r="BJ996" s="2289"/>
      <c r="BK996" s="2289"/>
      <c r="BL996" s="2289"/>
      <c r="BM996" s="2289"/>
      <c r="BN996" s="2289"/>
      <c r="BO996" s="2289"/>
      <c r="BP996" s="2289"/>
      <c r="BQ996" s="2289"/>
      <c r="BR996" s="2289"/>
    </row>
    <row r="997" spans="1:70" ht="15.75" customHeight="1">
      <c r="A997" s="2289"/>
      <c r="B997" s="2289"/>
      <c r="C997" s="2289"/>
      <c r="D997" s="2289"/>
      <c r="E997" s="2289"/>
      <c r="F997" s="2289"/>
      <c r="G997" s="2290"/>
      <c r="H997" s="2289"/>
      <c r="I997" s="2289"/>
      <c r="J997" s="2290"/>
      <c r="K997" s="2289"/>
      <c r="L997" s="2289"/>
      <c r="M997" s="2290"/>
      <c r="N997" s="2290"/>
      <c r="O997" s="2290"/>
      <c r="P997" s="2290"/>
      <c r="Q997" s="2289"/>
      <c r="R997" s="2289"/>
      <c r="S997" s="2289"/>
      <c r="T997" s="2291"/>
      <c r="U997" s="2289"/>
      <c r="V997" s="2289"/>
      <c r="W997" s="2289"/>
      <c r="X997" s="2292"/>
      <c r="Y997" s="2292"/>
      <c r="Z997" s="2289"/>
      <c r="AA997" s="2289"/>
      <c r="AB997" s="2289"/>
      <c r="AC997" s="2289"/>
      <c r="AD997" s="2293"/>
      <c r="AE997" s="2293"/>
      <c r="AF997" s="2293"/>
      <c r="AG997" s="2293"/>
      <c r="AH997" s="2289"/>
      <c r="AI997" s="2289"/>
      <c r="AJ997" s="2294"/>
      <c r="AK997" s="2294"/>
      <c r="AL997" s="2289"/>
      <c r="AM997" s="2289"/>
      <c r="AN997" s="2289"/>
      <c r="AO997" s="2289"/>
      <c r="AP997" s="2289"/>
      <c r="AQ997" s="2289"/>
      <c r="AR997" s="2294"/>
      <c r="AS997" s="2294"/>
      <c r="AT997" s="2295"/>
      <c r="AU997" s="2295"/>
      <c r="AV997" s="2295"/>
      <c r="AW997" s="2295"/>
      <c r="AX997" s="2296"/>
      <c r="AY997" s="2289"/>
      <c r="AZ997" s="2289"/>
      <c r="BA997" s="2289"/>
      <c r="BB997" s="2289"/>
      <c r="BC997" s="2289"/>
      <c r="BD997" s="2289"/>
      <c r="BE997" s="2289"/>
      <c r="BF997" s="2289"/>
      <c r="BG997" s="2289"/>
      <c r="BH997" s="2289"/>
      <c r="BI997" s="2289"/>
      <c r="BJ997" s="2289"/>
      <c r="BK997" s="2289"/>
      <c r="BL997" s="2289"/>
      <c r="BM997" s="2289"/>
      <c r="BN997" s="2289"/>
      <c r="BO997" s="2289"/>
      <c r="BP997" s="2289"/>
      <c r="BQ997" s="2289"/>
      <c r="BR997" s="2289"/>
    </row>
    <row r="998" spans="1:70" ht="15.75" customHeight="1">
      <c r="A998" s="2289"/>
      <c r="B998" s="2289"/>
      <c r="C998" s="2289"/>
      <c r="D998" s="2289"/>
      <c r="E998" s="2289"/>
      <c r="F998" s="2289"/>
      <c r="G998" s="2290"/>
      <c r="H998" s="2289"/>
      <c r="I998" s="2289"/>
      <c r="J998" s="2290"/>
      <c r="K998" s="2289"/>
      <c r="L998" s="2289"/>
      <c r="M998" s="2290"/>
      <c r="N998" s="2290"/>
      <c r="O998" s="2290"/>
      <c r="P998" s="2290"/>
      <c r="Q998" s="2289"/>
      <c r="R998" s="2289"/>
      <c r="S998" s="2289"/>
      <c r="T998" s="2291"/>
      <c r="U998" s="2289"/>
      <c r="V998" s="2289"/>
      <c r="W998" s="2289"/>
      <c r="X998" s="2292"/>
      <c r="Y998" s="2292"/>
      <c r="Z998" s="2289"/>
      <c r="AA998" s="2289"/>
      <c r="AB998" s="2289"/>
      <c r="AC998" s="2289"/>
      <c r="AD998" s="2293"/>
      <c r="AE998" s="2293"/>
      <c r="AF998" s="2293"/>
      <c r="AG998" s="2293"/>
      <c r="AH998" s="2289"/>
      <c r="AI998" s="2289"/>
      <c r="AJ998" s="2294"/>
      <c r="AK998" s="2294"/>
      <c r="AL998" s="2289"/>
      <c r="AM998" s="2289"/>
      <c r="AN998" s="2289"/>
      <c r="AO998" s="2289"/>
      <c r="AP998" s="2289"/>
      <c r="AQ998" s="2289"/>
      <c r="AR998" s="2294"/>
      <c r="AS998" s="2294"/>
      <c r="AT998" s="2295"/>
      <c r="AU998" s="2295"/>
      <c r="AV998" s="2295"/>
      <c r="AW998" s="2295"/>
      <c r="AX998" s="2296"/>
      <c r="AY998" s="2289"/>
      <c r="AZ998" s="2289"/>
      <c r="BA998" s="2289"/>
      <c r="BB998" s="2289"/>
      <c r="BC998" s="2289"/>
      <c r="BD998" s="2289"/>
      <c r="BE998" s="2289"/>
      <c r="BF998" s="2289"/>
      <c r="BG998" s="2289"/>
      <c r="BH998" s="2289"/>
      <c r="BI998" s="2289"/>
      <c r="BJ998" s="2289"/>
      <c r="BK998" s="2289"/>
      <c r="BL998" s="2289"/>
      <c r="BM998" s="2289"/>
      <c r="BN998" s="2289"/>
      <c r="BO998" s="2289"/>
      <c r="BP998" s="2289"/>
      <c r="BQ998" s="2289"/>
      <c r="BR998" s="2289"/>
    </row>
    <row r="999" spans="1:70" ht="15.75" customHeight="1">
      <c r="A999" s="2289"/>
      <c r="B999" s="2289"/>
      <c r="C999" s="2289"/>
      <c r="D999" s="2289"/>
      <c r="E999" s="2289"/>
      <c r="F999" s="2289"/>
      <c r="G999" s="2290"/>
      <c r="H999" s="2289"/>
      <c r="I999" s="2289"/>
      <c r="J999" s="2290"/>
      <c r="K999" s="2289"/>
      <c r="L999" s="2289"/>
      <c r="M999" s="2290"/>
      <c r="N999" s="2290"/>
      <c r="O999" s="2290"/>
      <c r="P999" s="2290"/>
      <c r="Q999" s="2289"/>
      <c r="R999" s="2289"/>
      <c r="S999" s="2289"/>
      <c r="T999" s="2291"/>
      <c r="U999" s="2289"/>
      <c r="V999" s="2289"/>
      <c r="W999" s="2289"/>
      <c r="X999" s="2292"/>
      <c r="Y999" s="2292"/>
      <c r="Z999" s="2289"/>
      <c r="AA999" s="2289"/>
      <c r="AB999" s="2289"/>
      <c r="AC999" s="2289"/>
      <c r="AD999" s="2293"/>
      <c r="AE999" s="2293"/>
      <c r="AF999" s="2293"/>
      <c r="AG999" s="2293"/>
      <c r="AH999" s="2289"/>
      <c r="AI999" s="2289"/>
      <c r="AJ999" s="2294"/>
      <c r="AK999" s="2294"/>
      <c r="AL999" s="2289"/>
      <c r="AM999" s="2289"/>
      <c r="AN999" s="2289"/>
      <c r="AO999" s="2289"/>
      <c r="AP999" s="2289"/>
      <c r="AQ999" s="2289"/>
      <c r="AR999" s="2294"/>
      <c r="AS999" s="2294"/>
      <c r="AT999" s="2295"/>
      <c r="AU999" s="2295"/>
      <c r="AV999" s="2295"/>
      <c r="AW999" s="2295"/>
      <c r="AX999" s="2296"/>
      <c r="AY999" s="2289"/>
      <c r="AZ999" s="2289"/>
      <c r="BA999" s="2289"/>
      <c r="BB999" s="2289"/>
      <c r="BC999" s="2289"/>
      <c r="BD999" s="2289"/>
      <c r="BE999" s="2289"/>
      <c r="BF999" s="2289"/>
      <c r="BG999" s="2289"/>
      <c r="BH999" s="2289"/>
      <c r="BI999" s="2289"/>
      <c r="BJ999" s="2289"/>
      <c r="BK999" s="2289"/>
      <c r="BL999" s="2289"/>
      <c r="BM999" s="2289"/>
      <c r="BN999" s="2289"/>
      <c r="BO999" s="2289"/>
      <c r="BP999" s="2289"/>
      <c r="BQ999" s="2289"/>
      <c r="BR999" s="2289"/>
    </row>
    <row r="1000" spans="1:70" ht="15.75" customHeight="1">
      <c r="A1000" s="2289"/>
      <c r="B1000" s="2289"/>
      <c r="C1000" s="2289"/>
      <c r="D1000" s="2289"/>
      <c r="E1000" s="2289"/>
      <c r="F1000" s="2289"/>
      <c r="G1000" s="2290"/>
      <c r="H1000" s="2289"/>
      <c r="I1000" s="2289"/>
      <c r="J1000" s="2290"/>
      <c r="K1000" s="2289"/>
      <c r="L1000" s="2289"/>
      <c r="M1000" s="2290"/>
      <c r="N1000" s="2290"/>
      <c r="O1000" s="2290"/>
      <c r="P1000" s="2290"/>
      <c r="Q1000" s="2289"/>
      <c r="R1000" s="2289"/>
      <c r="S1000" s="2289"/>
      <c r="T1000" s="2291"/>
      <c r="U1000" s="2289"/>
      <c r="V1000" s="2289"/>
      <c r="W1000" s="2289"/>
      <c r="X1000" s="2292"/>
      <c r="Y1000" s="2292"/>
      <c r="Z1000" s="2289"/>
      <c r="AA1000" s="2289"/>
      <c r="AB1000" s="2289"/>
      <c r="AC1000" s="2289"/>
      <c r="AD1000" s="2293"/>
      <c r="AE1000" s="2293"/>
      <c r="AF1000" s="2293"/>
      <c r="AG1000" s="2293"/>
      <c r="AH1000" s="2289"/>
      <c r="AI1000" s="2289"/>
      <c r="AJ1000" s="2294"/>
      <c r="AK1000" s="2294"/>
      <c r="AL1000" s="2289"/>
      <c r="AM1000" s="2289"/>
      <c r="AN1000" s="2289"/>
      <c r="AO1000" s="2289"/>
      <c r="AP1000" s="2289"/>
      <c r="AQ1000" s="2289"/>
      <c r="AR1000" s="2294"/>
      <c r="AS1000" s="2294"/>
      <c r="AT1000" s="2295"/>
      <c r="AU1000" s="2295"/>
      <c r="AV1000" s="2295"/>
      <c r="AW1000" s="2295"/>
      <c r="AX1000" s="2296"/>
      <c r="AY1000" s="2289"/>
      <c r="AZ1000" s="2289"/>
      <c r="BA1000" s="2289"/>
      <c r="BB1000" s="2289"/>
      <c r="BC1000" s="2289"/>
      <c r="BD1000" s="2289"/>
      <c r="BE1000" s="2289"/>
      <c r="BF1000" s="2289"/>
      <c r="BG1000" s="2289"/>
      <c r="BH1000" s="2289"/>
      <c r="BI1000" s="2289"/>
      <c r="BJ1000" s="2289"/>
      <c r="BK1000" s="2289"/>
      <c r="BL1000" s="2289"/>
      <c r="BM1000" s="2289"/>
      <c r="BN1000" s="2289"/>
      <c r="BO1000" s="2289"/>
      <c r="BP1000" s="2289"/>
      <c r="BQ1000" s="2289"/>
      <c r="BR1000" s="2289"/>
    </row>
  </sheetData>
  <mergeCells count="37">
    <mergeCell ref="A1:BR1"/>
    <mergeCell ref="A2:BR2"/>
    <mergeCell ref="A3:BR3"/>
    <mergeCell ref="C4:AC4"/>
    <mergeCell ref="AD4:BN4"/>
    <mergeCell ref="BO4:BR4"/>
    <mergeCell ref="X5:X6"/>
    <mergeCell ref="A5:A6"/>
    <mergeCell ref="B5:B6"/>
    <mergeCell ref="C5:C6"/>
    <mergeCell ref="D5:G5"/>
    <mergeCell ref="H5:K5"/>
    <mergeCell ref="L5:O5"/>
    <mergeCell ref="BQ5:BQ6"/>
    <mergeCell ref="BR5:BR6"/>
    <mergeCell ref="AX5:BA5"/>
    <mergeCell ref="BB5:BE5"/>
    <mergeCell ref="BF5:BI5"/>
    <mergeCell ref="BJ5:BJ6"/>
    <mergeCell ref="BK5:BK6"/>
    <mergeCell ref="BL5:BL6"/>
    <mergeCell ref="A284:C284"/>
    <mergeCell ref="BM5:BM6"/>
    <mergeCell ref="BN5:BN6"/>
    <mergeCell ref="BO5:BO6"/>
    <mergeCell ref="BP5:BP6"/>
    <mergeCell ref="Z5:AC5"/>
    <mergeCell ref="AD5:AG5"/>
    <mergeCell ref="AH5:AK5"/>
    <mergeCell ref="AL5:AO5"/>
    <mergeCell ref="AP5:AS5"/>
    <mergeCell ref="AT5:AW5"/>
    <mergeCell ref="P5:S5"/>
    <mergeCell ref="T5:T6"/>
    <mergeCell ref="U5:U6"/>
    <mergeCell ref="V5:V6"/>
    <mergeCell ref="W5:W6"/>
  </mergeCells>
  <dataValidations count="1">
    <dataValidation allowBlank="1" showInputMessage="1" prompt="Indicadores - Seleccione el IMG que aplique o en su defecto escriba el indicador propio que definio la Corporación" sqref="D202:G203 D199 F199:G200 D206:G208 D210:G212 D214:G216 D218:G221 D250:G258 E265:G265 E267:G267" xr:uid="{75D2519E-822E-4578-AEE7-DEBEBB663750}"/>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S32"/>
  <sheetViews>
    <sheetView topLeftCell="A7" zoomScale="77" zoomScaleNormal="77" workbookViewId="0">
      <selection activeCell="A7" sqref="A7"/>
    </sheetView>
  </sheetViews>
  <sheetFormatPr baseColWidth="10" defaultColWidth="11.44140625" defaultRowHeight="14.4"/>
  <cols>
    <col min="1" max="1" width="8.44140625" style="306" customWidth="1"/>
    <col min="2" max="2" width="62.44140625" style="306" customWidth="1"/>
    <col min="3" max="3" width="9.44140625" style="306" customWidth="1"/>
    <col min="4" max="4" width="10" style="306" customWidth="1"/>
    <col min="5" max="5" width="12.88671875" style="306" customWidth="1"/>
    <col min="6" max="6" width="15.5546875" style="306" customWidth="1"/>
    <col min="7" max="7" width="9" style="306" customWidth="1"/>
    <col min="8" max="8" width="14.44140625" style="306" customWidth="1"/>
    <col min="9" max="9" width="22.33203125" style="306" customWidth="1"/>
    <col min="10" max="10" width="32" style="306" customWidth="1"/>
    <col min="11" max="11" width="24.6640625" style="306" customWidth="1"/>
    <col min="12" max="12" width="42.109375" style="306" customWidth="1"/>
    <col min="13" max="13" width="22.44140625" style="306" customWidth="1"/>
    <col min="14" max="14" width="1.88671875" style="306" customWidth="1"/>
    <col min="15" max="15" width="39.88671875" style="306" customWidth="1"/>
    <col min="16" max="16" width="21.33203125" style="306" customWidth="1"/>
    <col min="17" max="16384" width="11.44140625" style="306"/>
  </cols>
  <sheetData>
    <row r="1" spans="1:19" s="304" customFormat="1" ht="130.5" customHeight="1" thickBot="1">
      <c r="A1" s="2384"/>
      <c r="B1" s="2385"/>
      <c r="C1" s="2385"/>
      <c r="D1" s="2385"/>
      <c r="E1" s="2385"/>
      <c r="F1" s="2385"/>
      <c r="G1" s="2385"/>
      <c r="H1" s="2385"/>
      <c r="I1" s="2385"/>
      <c r="J1" s="2385"/>
      <c r="K1" s="2385"/>
      <c r="L1" s="2385"/>
      <c r="M1" s="2385"/>
      <c r="N1" s="2385"/>
      <c r="O1" s="2385"/>
      <c r="P1" s="2385"/>
      <c r="Q1" s="2385"/>
      <c r="R1" s="2385"/>
      <c r="S1" s="2386"/>
    </row>
    <row r="2" spans="1:19" s="305" customFormat="1" ht="16.2" thickBot="1">
      <c r="A2" s="2381">
        <f>+'Datos Generales'!A5</f>
        <v>0</v>
      </c>
      <c r="B2" s="2382"/>
      <c r="C2" s="2382"/>
      <c r="D2" s="2382"/>
      <c r="E2" s="2382"/>
      <c r="F2" s="2382"/>
      <c r="G2" s="2382"/>
      <c r="H2" s="2382"/>
      <c r="I2" s="2382"/>
      <c r="J2" s="2382"/>
      <c r="K2" s="2382"/>
      <c r="L2" s="2382"/>
      <c r="M2" s="2382"/>
      <c r="N2" s="2382"/>
      <c r="O2" s="2382"/>
      <c r="P2" s="2382"/>
      <c r="Q2" s="2382"/>
      <c r="R2" s="2382"/>
      <c r="S2" s="2383"/>
    </row>
    <row r="3" spans="1:19" s="305" customFormat="1" ht="16.5" customHeight="1" thickBot="1">
      <c r="A3" s="2336" t="s">
        <v>696</v>
      </c>
      <c r="B3" s="2337"/>
      <c r="C3" s="2337"/>
      <c r="D3" s="2337"/>
      <c r="E3" s="2337"/>
      <c r="F3" s="2337"/>
      <c r="G3" s="2337"/>
      <c r="H3" s="2337"/>
      <c r="I3" s="2337"/>
      <c r="J3" s="2337"/>
      <c r="K3" s="2337"/>
      <c r="L3" s="2337"/>
      <c r="M3" s="2337"/>
      <c r="N3" s="2337"/>
      <c r="O3" s="2337"/>
      <c r="P3" s="2337"/>
      <c r="Q3" s="2337"/>
      <c r="R3" s="2337"/>
      <c r="S3" s="2338"/>
    </row>
    <row r="4" spans="1:19" s="305" customFormat="1" ht="30.75" customHeight="1" thickBot="1">
      <c r="A4" s="2387" t="s">
        <v>697</v>
      </c>
      <c r="B4" s="2388"/>
      <c r="C4" s="418"/>
      <c r="D4" s="312" t="str">
        <f>+'Datos Generales'!C6</f>
        <v>2025-II</v>
      </c>
      <c r="E4" s="312"/>
      <c r="F4" s="312"/>
      <c r="G4" s="312"/>
      <c r="H4" s="2381"/>
      <c r="I4" s="2382"/>
      <c r="J4" s="2383"/>
      <c r="K4" s="2336"/>
      <c r="L4" s="2337"/>
      <c r="M4" s="2337"/>
      <c r="N4" s="2337"/>
      <c r="O4" s="2336"/>
      <c r="P4" s="2337"/>
      <c r="Q4" s="2337"/>
      <c r="R4" s="2337"/>
      <c r="S4" s="2338"/>
    </row>
    <row r="5" spans="1:19" ht="30" customHeight="1">
      <c r="A5" s="296" t="s">
        <v>698</v>
      </c>
      <c r="B5" s="296" t="s">
        <v>699</v>
      </c>
      <c r="C5" s="297">
        <v>2024</v>
      </c>
      <c r="D5" s="419">
        <v>2025</v>
      </c>
      <c r="E5" s="419">
        <v>2026</v>
      </c>
      <c r="F5" s="419">
        <v>2027</v>
      </c>
      <c r="H5" s="650" t="s">
        <v>700</v>
      </c>
      <c r="I5" s="651" t="s">
        <v>701</v>
      </c>
      <c r="J5" s="652" t="s">
        <v>702</v>
      </c>
      <c r="K5" s="638" t="s">
        <v>703</v>
      </c>
      <c r="L5" s="639" t="s">
        <v>704</v>
      </c>
      <c r="M5" s="640" t="s">
        <v>702</v>
      </c>
      <c r="N5" s="641" t="s">
        <v>618</v>
      </c>
      <c r="O5" s="638" t="s">
        <v>703</v>
      </c>
      <c r="P5" s="639" t="s">
        <v>704</v>
      </c>
      <c r="Q5" s="640" t="s">
        <v>702</v>
      </c>
      <c r="R5" s="641" t="s">
        <v>618</v>
      </c>
      <c r="S5" s="642"/>
    </row>
    <row r="6" spans="1:19" ht="137.25" customHeight="1">
      <c r="A6" s="420" t="s">
        <v>705</v>
      </c>
      <c r="B6" s="421" t="s">
        <v>1</v>
      </c>
      <c r="C6" s="426">
        <f ca="1">+'1POMCAS'!G63</f>
        <v>0.90999999999999992</v>
      </c>
      <c r="D6" s="426">
        <f>+'1POMCAS'!H63</f>
        <v>1</v>
      </c>
      <c r="E6" s="426">
        <f>+'1POMCAS'!I63</f>
        <v>0</v>
      </c>
      <c r="F6" s="426" t="str">
        <f ca="1">+'1POMCAS'!J63</f>
        <v>N.A.</v>
      </c>
      <c r="H6" s="653">
        <f>'1POMCAS'!F10</f>
        <v>0</v>
      </c>
      <c r="I6" s="422" t="str">
        <f>+'1POMCAS'!E12</f>
        <v>Línea Estratégica No. 1. Gestión para la Sostenibilidad del Recurso hídrico; 
Programa 1.1.:  GHI - Gestión Hidrica Integral  
Proyecto 1.1.1.  Planificación del Recurso Hidrico 
Actividad: 1.1.1.1 - Acciones dirigidas a formular, ajustar o actualizar los planes de ordenación y manejo de cuencas (POMCA Ciénaga de Mallorquín, POMCA Complejo de humedales de la Vertiente Occidental del Río Magdalena y POMCA Arroyos Directos al Mar Caribe)
Actividad 1.1.1.3 - . Formular el Plan de manejo de la Ciénaga Uvero
Actividad 1.1.1.4.-  Formular el Plan de manejo del Acuífero Sabanalarga - Tubará</v>
      </c>
      <c r="J6" s="654">
        <f>+'1POMCAS'!E13</f>
        <v>0</v>
      </c>
      <c r="K6" s="643" t="str">
        <f t="shared" ref="K6:K32" si="0">IF(ISNUMBER(D6),"",H6)</f>
        <v/>
      </c>
      <c r="L6" s="423" t="str">
        <f t="shared" ref="L6:L32" si="1">IF(ISNUMBER(I6),"",I6)</f>
        <v>Línea Estratégica No. 1. Gestión para la Sostenibilidad del Recurso hídrico; 
Programa 1.1.:  GHI - Gestión Hidrica Integral  
Proyecto 1.1.1.  Planificación del Recurso Hidrico 
Actividad: 1.1.1.1 - Acciones dirigidas a formular, ajustar o actualizar los planes de ordenación y manejo de cuencas (POMCA Ciénaga de Mallorquín, POMCA Complejo de humedales de la Vertiente Occidental del Río Magdalena y POMCA Arroyos Directos al Mar Caribe)
Actividad 1.1.1.3 - . Formular el Plan de manejo de la Ciénaga Uvero
Actividad 1.1.1.4.-  Formular el Plan de manejo del Acuífero Sabanalarga - Tubará</v>
      </c>
      <c r="M6" s="424" t="str">
        <f t="shared" ref="M6:M32" si="2">IF(ISNUMBER(J6),"",J6)</f>
        <v/>
      </c>
      <c r="N6" s="425" t="s">
        <v>618</v>
      </c>
      <c r="O6" s="643" t="str">
        <f t="shared" ref="O6:O32" si="3">IF(ISNUMBER(I6),"",L6)</f>
        <v>Línea Estratégica No. 1. Gestión para la Sostenibilidad del Recurso hídrico; 
Programa 1.1.:  GHI - Gestión Hidrica Integral  
Proyecto 1.1.1.  Planificación del Recurso Hidrico 
Actividad: 1.1.1.1 - Acciones dirigidas a formular, ajustar o actualizar los planes de ordenación y manejo de cuencas (POMCA Ciénaga de Mallorquín, POMCA Complejo de humedales de la Vertiente Occidental del Río Magdalena y POMCA Arroyos Directos al Mar Caribe)
Actividad 1.1.1.3 - . Formular el Plan de manejo de la Ciénaga Uvero
Actividad 1.1.1.4.-  Formular el Plan de manejo del Acuífero Sabanalarga - Tubará</v>
      </c>
      <c r="P6" s="423" t="str">
        <f t="shared" ref="P6" si="4">IF(ISNUMBER(M6),"",M6)</f>
        <v/>
      </c>
      <c r="Q6" s="2378" t="str">
        <f t="shared" ref="Q6:Q32" si="5">IF(ISNUMBER(N6),"",N6)</f>
        <v xml:space="preserve"> </v>
      </c>
      <c r="R6" s="2379"/>
      <c r="S6" s="2380"/>
    </row>
    <row r="7" spans="1:19" ht="372">
      <c r="A7" s="420" t="s">
        <v>706</v>
      </c>
      <c r="B7" s="421" t="s">
        <v>3</v>
      </c>
      <c r="C7" s="427" t="str">
        <f>+'2PORH'!E23</f>
        <v>N.A.</v>
      </c>
      <c r="D7" s="427">
        <f>+'2PORH'!F23</f>
        <v>1</v>
      </c>
      <c r="E7" s="427">
        <f>+'2PORH'!G23</f>
        <v>0</v>
      </c>
      <c r="F7" s="427">
        <f>+'2PORH'!H23</f>
        <v>0</v>
      </c>
      <c r="H7" s="653" t="str">
        <f>+'2PORH'!F10</f>
        <v/>
      </c>
      <c r="I7" s="422" t="str">
        <f>+'2PORH'!E12</f>
        <v>Línea Estratégica No. 1. Gestión para la Sostenibilidad del Recurso hídrico; 
Programa 1.1.:  GHI - Gestión Hidrica Integral  
Proyecto 1.1.1.  Planificación del Recurso Hidrico 
Actividad: 1.1.1.7 - Adoptar los Planes de ordenamiento del recurso hídrico en las ciénagas priorizadas del departamento del Atlántico (PORH) 
Actividad : 1.1.1.8 - Hacer seguimiento a los Planes de Ordenamiento del Recurso Hidrico (PORH) que se encuentren adoptados en el departamento del Atlántico</v>
      </c>
      <c r="J7" s="654" t="str">
        <f>+'2PORH'!E13</f>
        <v xml:space="preserve">Durante el 2021, a través de Resolución No. 0691 del 2021 se adoptaron los PORH de las ciénagas de Sabanagrande, Santo Tomás y Palmar de Varela que se formularon en el 2020
Para la vigencia 2022, se formuló el PORH Ciénaga de Malambo, el cual tenía programación de ejecución para vigencia 2021, siendo adoptado en el 2023 cumpliéndose en rezago (Res.0589 de 2023). 
Para la vigencia 2023, se formuló y se adoptó el PORH de la Ciénaga La Bahía (Res. 01095 de 2023).
En la vigencia 2024 no se programó adopción de PORH, de acuerdo con el PAI 2024-2027 se adoptó 1 PORH en la vigencia 2025 correspondiente a la Cienaga de Convento  siendo aoptado con la Resolución 1138 de 2025 y  queda en programación 1 PORH en la vigencia 2026 correspondiente  a la cienaga de  Totumo.   </v>
      </c>
      <c r="K7" s="643" t="str">
        <f t="shared" si="0"/>
        <v/>
      </c>
      <c r="L7" s="423" t="str">
        <f t="shared" si="1"/>
        <v>Línea Estratégica No. 1. Gestión para la Sostenibilidad del Recurso hídrico; 
Programa 1.1.:  GHI - Gestión Hidrica Integral  
Proyecto 1.1.1.  Planificación del Recurso Hidrico 
Actividad: 1.1.1.7 - Adoptar los Planes de ordenamiento del recurso hídrico en las ciénagas priorizadas del departamento del Atlántico (PORH) 
Actividad : 1.1.1.8 - Hacer seguimiento a los Planes de Ordenamiento del Recurso Hidrico (PORH) que se encuentren adoptados en el departamento del Atlántico</v>
      </c>
      <c r="M7" s="424" t="str">
        <f t="shared" si="2"/>
        <v xml:space="preserve">Durante el 2021, a través de Resolución No. 0691 del 2021 se adoptaron los PORH de las ciénagas de Sabanagrande, Santo Tomás y Palmar de Varela que se formularon en el 2020
Para la vigencia 2022, se formuló el PORH Ciénaga de Malambo, el cual tenía programación de ejecución para vigencia 2021, siendo adoptado en el 2023 cumpliéndose en rezago (Res.0589 de 2023). 
Para la vigencia 2023, se formuló y se adoptó el PORH de la Ciénaga La Bahía (Res. 01095 de 2023).
En la vigencia 2024 no se programó adopción de PORH, de acuerdo con el PAI 2024-2027 se adoptó 1 PORH en la vigencia 2025 correspondiente a la Cienaga de Convento  siendo aoptado con la Resolución 1138 de 2025 y  queda en programación 1 PORH en la vigencia 2026 correspondiente  a la cienaga de  Totumo.   </v>
      </c>
      <c r="N7" s="425" t="s">
        <v>618</v>
      </c>
      <c r="O7" s="643" t="str">
        <f t="shared" si="3"/>
        <v>Línea Estratégica No. 1. Gestión para la Sostenibilidad del Recurso hídrico; 
Programa 1.1.:  GHI - Gestión Hidrica Integral  
Proyecto 1.1.1.  Planificación del Recurso Hidrico 
Actividad: 1.1.1.7 - Adoptar los Planes de ordenamiento del recurso hídrico en las ciénagas priorizadas del departamento del Atlántico (PORH) 
Actividad : 1.1.1.8 - Hacer seguimiento a los Planes de Ordenamiento del Recurso Hidrico (PORH) que se encuentren adoptados en el departamento del Atlántico</v>
      </c>
      <c r="P7" s="423"/>
      <c r="Q7" s="424" t="str">
        <f t="shared" si="5"/>
        <v xml:space="preserve"> </v>
      </c>
      <c r="R7" s="425" t="s">
        <v>618</v>
      </c>
      <c r="S7" s="644"/>
    </row>
    <row r="8" spans="1:19" ht="204">
      <c r="A8" s="420" t="s">
        <v>707</v>
      </c>
      <c r="B8" s="421" t="s">
        <v>5</v>
      </c>
      <c r="C8" s="426" t="str">
        <f>+'3PSMV'!E22</f>
        <v>N.A.</v>
      </c>
      <c r="D8" s="426">
        <f>+'3PSMV'!F22</f>
        <v>1</v>
      </c>
      <c r="E8" s="426" t="str">
        <f>+'3PSMV'!G22</f>
        <v>N.A.</v>
      </c>
      <c r="F8" s="426" t="str">
        <f>+'3PSMV'!H22</f>
        <v>N.A.</v>
      </c>
      <c r="H8" s="653" t="str">
        <f>+'3PSMV'!F10</f>
        <v/>
      </c>
      <c r="I8" s="422" t="str">
        <f>+'3PSMV'!E12</f>
        <v>Línea Estratégica No. 1. Gestión para la Sostenibilidad del Recurso hídrico; 
Programa 1.2.:  HIDROVALOR: Agua de Calidad para la Vida
Proyecto 1.2.3.  Reducción de la Contaminación del Recurso Hidrico 
Actividad: 1.2.3.1 -  Realizar seguimiento a los Planes de Saneamiento y Manejo de Vertimientos - PSMV
Actividad: 1.2.3.2 - Apoyar a los municipios de la jurisdicción de la C.R.A. en la gestión ambiental de sus aguas residuales</v>
      </c>
      <c r="J8" s="654" t="str">
        <f>+'3PSMV'!E13</f>
        <v>Se adelantó seguimiento al estado de cumplimiento de los 23 municipios objeto de aplicación del plan de saneamiento y manejo de vertimientos - PSMV, de los cuales 22 se encuentran vigentes (Soledad, Galapa, Puerto Colombia, Santo Tomás, Sabanagrande, Polonuevo, Sabanalarga, Baranoa, Tubará, Palmar de Varela, Barranquilla, Usiacurí, Campo de la Cruz, Candelaria, Santa Lucía, Piojó , Juan de Acosta, Manatí, Repelón, Luruaco, Malambo, Ponedera).</v>
      </c>
      <c r="K8" s="643" t="str">
        <f t="shared" si="0"/>
        <v/>
      </c>
      <c r="L8" s="423" t="str">
        <f t="shared" si="1"/>
        <v>Línea Estratégica No. 1. Gestión para la Sostenibilidad del Recurso hídrico; 
Programa 1.2.:  HIDROVALOR: Agua de Calidad para la Vida
Proyecto 1.2.3.  Reducción de la Contaminación del Recurso Hidrico 
Actividad: 1.2.3.1 -  Realizar seguimiento a los Planes de Saneamiento y Manejo de Vertimientos - PSMV
Actividad: 1.2.3.2 - Apoyar a los municipios de la jurisdicción de la C.R.A. en la gestión ambiental de sus aguas residuales</v>
      </c>
      <c r="M8" s="424" t="str">
        <f t="shared" si="2"/>
        <v>Se adelantó seguimiento al estado de cumplimiento de los 23 municipios objeto de aplicación del plan de saneamiento y manejo de vertimientos - PSMV, de los cuales 22 se encuentran vigentes (Soledad, Galapa, Puerto Colombia, Santo Tomás, Sabanagrande, Polonuevo, Sabanalarga, Baranoa, Tubará, Palmar de Varela, Barranquilla, Usiacurí, Campo de la Cruz, Candelaria, Santa Lucía, Piojó , Juan de Acosta, Manatí, Repelón, Luruaco, Malambo, Ponedera).</v>
      </c>
      <c r="N8" s="425" t="s">
        <v>618</v>
      </c>
      <c r="O8" s="643" t="str">
        <f t="shared" si="3"/>
        <v>Línea Estratégica No. 1. Gestión para la Sostenibilidad del Recurso hídrico; 
Programa 1.2.:  HIDROVALOR: Agua de Calidad para la Vida
Proyecto 1.2.3.  Reducción de la Contaminación del Recurso Hidrico 
Actividad: 1.2.3.1 -  Realizar seguimiento a los Planes de Saneamiento y Manejo de Vertimientos - PSMV
Actividad: 1.2.3.2 - Apoyar a los municipios de la jurisdicción de la C.R.A. en la gestión ambiental de sus aguas residuales</v>
      </c>
      <c r="P8" s="423"/>
      <c r="Q8" s="424" t="str">
        <f t="shared" si="5"/>
        <v xml:space="preserve"> </v>
      </c>
      <c r="R8" s="425" t="s">
        <v>618</v>
      </c>
      <c r="S8" s="644"/>
    </row>
    <row r="9" spans="1:19" ht="348">
      <c r="A9" s="420" t="s">
        <v>708</v>
      </c>
      <c r="B9" s="421" t="s">
        <v>7</v>
      </c>
      <c r="C9" s="426" t="s">
        <v>709</v>
      </c>
      <c r="D9" s="426" t="s">
        <v>709</v>
      </c>
      <c r="E9" s="426" t="s">
        <v>709</v>
      </c>
      <c r="F9" s="658">
        <f>+'4UsoAguas'!D8</f>
        <v>0.3</v>
      </c>
      <c r="H9" s="653">
        <f>+'4UsoAguas'!F11</f>
        <v>0</v>
      </c>
      <c r="I9" s="422" t="str">
        <f>+'4UsoAguas'!E12</f>
        <v xml:space="preserve">LINEA DE SOSTENIBILIDAD DEL RECURSO HIDRICO
PROYECTO 1.1.2. ADMINISTRACIÓN DEL RECURSO HÍDRICO
ACCIÓN ESTRATÉGICA 1.1.2.1. Reglamentar el uso del recurso hídrico de los cuerpos de agua en el Departamento del Atlántico. 
META: Una (1) reglamentación del uso del recurso hídrico de los cuerpos de agua en el Departamento del Atlántico realizada (Vertimientos del Arroyo León). 
INDICADOR: Número de reglamentaciones del uso del recurso hídrico de los cuerpos de agua en el Departamento del Atlántico realizada. 
AVANCE 2025: A esta meta se le da cumplimiento con la ejecución del Contrato No.0326 de 2025 cuyo objeto es: “REALIZAR UN ESTUDIO HIDROSEDIMENTOLÓGICO COMO INSUMO PARA DESARROLLAR LA REGLAMENTACIÓN POR VERTIMIENTOS DEL RECURSO HÍDRICO DEL ARROYO LEÓN Y LA IMPLEMENTACIÓN DEL DECRETO 1553 DE 2024 PARA LA LIQUIDACIÓN DE LA TASA RETRIBUTIVA EN EL DEPARTAMENTO DEL ATLÁNTICO.”, suscrito entre la C.R.A. y el Consorcio SICC del Caribe.  Este contrato cuenta con un periodo de ejecución de diez (10) meses, y cuenta con acta de inicio de fecha 10 de octubre de 2025.  
A corte 31 de diciembre de 2025, la meta cuenta con un porcentaje de ejecución del treinta por ciento (30%), representado en las actividades previas de preparación del cronograma de activades y plan de trabajo.
</v>
      </c>
      <c r="J9" s="654">
        <f>+'4UsoAguas'!E13</f>
        <v>0</v>
      </c>
      <c r="K9" s="643">
        <f t="shared" si="0"/>
        <v>0</v>
      </c>
      <c r="L9" s="423" t="str">
        <f t="shared" si="1"/>
        <v xml:space="preserve">LINEA DE SOSTENIBILIDAD DEL RECURSO HIDRICO
PROYECTO 1.1.2. ADMINISTRACIÓN DEL RECURSO HÍDRICO
ACCIÓN ESTRATÉGICA 1.1.2.1. Reglamentar el uso del recurso hídrico de los cuerpos de agua en el Departamento del Atlántico. 
META: Una (1) reglamentación del uso del recurso hídrico de los cuerpos de agua en el Departamento del Atlántico realizada (Vertimientos del Arroyo León). 
INDICADOR: Número de reglamentaciones del uso del recurso hídrico de los cuerpos de agua en el Departamento del Atlántico realizada. 
AVANCE 2025: A esta meta se le da cumplimiento con la ejecución del Contrato No.0326 de 2025 cuyo objeto es: “REALIZAR UN ESTUDIO HIDROSEDIMENTOLÓGICO COMO INSUMO PARA DESARROLLAR LA REGLAMENTACIÓN POR VERTIMIENTOS DEL RECURSO HÍDRICO DEL ARROYO LEÓN Y LA IMPLEMENTACIÓN DEL DECRETO 1553 DE 2024 PARA LA LIQUIDACIÓN DE LA TASA RETRIBUTIVA EN EL DEPARTAMENTO DEL ATLÁNTICO.”, suscrito entre la C.R.A. y el Consorcio SICC del Caribe.  Este contrato cuenta con un periodo de ejecución de diez (10) meses, y cuenta con acta de inicio de fecha 10 de octubre de 2025.  
A corte 31 de diciembre de 2025, la meta cuenta con un porcentaje de ejecución del treinta por ciento (30%), representado en las actividades previas de preparación del cronograma de activades y plan de trabajo.
</v>
      </c>
      <c r="M9" s="424" t="str">
        <f t="shared" si="2"/>
        <v/>
      </c>
      <c r="N9" s="425" t="s">
        <v>618</v>
      </c>
      <c r="O9" s="643" t="str">
        <f t="shared" si="3"/>
        <v xml:space="preserve">LINEA DE SOSTENIBILIDAD DEL RECURSO HIDRICO
PROYECTO 1.1.2. ADMINISTRACIÓN DEL RECURSO HÍDRICO
ACCIÓN ESTRATÉGICA 1.1.2.1. Reglamentar el uso del recurso hídrico de los cuerpos de agua en el Departamento del Atlántico. 
META: Una (1) reglamentación del uso del recurso hídrico de los cuerpos de agua en el Departamento del Atlántico realizada (Vertimientos del Arroyo León). 
INDICADOR: Número de reglamentaciones del uso del recurso hídrico de los cuerpos de agua en el Departamento del Atlántico realizada. 
AVANCE 2025: A esta meta se le da cumplimiento con la ejecución del Contrato No.0326 de 2025 cuyo objeto es: “REALIZAR UN ESTUDIO HIDROSEDIMENTOLÓGICO COMO INSUMO PARA DESARROLLAR LA REGLAMENTACIÓN POR VERTIMIENTOS DEL RECURSO HÍDRICO DEL ARROYO LEÓN Y LA IMPLEMENTACIÓN DEL DECRETO 1553 DE 2024 PARA LA LIQUIDACIÓN DE LA TASA RETRIBUTIVA EN EL DEPARTAMENTO DEL ATLÁNTICO.”, suscrito entre la C.R.A. y el Consorcio SICC del Caribe.  Este contrato cuenta con un periodo de ejecución de diez (10) meses, y cuenta con acta de inicio de fecha 10 de octubre de 2025.  
A corte 31 de diciembre de 2025, la meta cuenta con un porcentaje de ejecución del treinta por ciento (30%), representado en las actividades previas de preparación del cronograma de activades y plan de trabajo.
</v>
      </c>
      <c r="P9" s="423"/>
      <c r="Q9" s="424" t="str">
        <f t="shared" si="5"/>
        <v xml:space="preserve"> </v>
      </c>
      <c r="R9" s="425" t="s">
        <v>618</v>
      </c>
      <c r="S9" s="644"/>
    </row>
    <row r="10" spans="1:19" ht="108">
      <c r="A10" s="420" t="s">
        <v>710</v>
      </c>
      <c r="B10" s="421" t="s">
        <v>9</v>
      </c>
      <c r="C10" s="426">
        <f>+'5PUEAA'!E22</f>
        <v>0.72289156626506024</v>
      </c>
      <c r="D10" s="426">
        <f>+'5PUEAA'!F22</f>
        <v>1</v>
      </c>
      <c r="E10" s="426" t="str">
        <f>+'5PUEAA'!G22</f>
        <v>N.A.</v>
      </c>
      <c r="F10" s="426" t="str">
        <f>+'5PUEAA'!H22</f>
        <v>N.A.</v>
      </c>
      <c r="H10" s="653" t="str">
        <f>+'5PUEAA'!F10</f>
        <v/>
      </c>
      <c r="I10" s="422" t="str">
        <f>+'5PUEAA'!E12</f>
        <v>Línea Estratégica No. 1. Gestión para la Sostenibilidad del Recurso hídrico; 
Programa 1.2.:  HIDROVALOR: Agua de Calidad para la Vida
Proyecto 1.2.1:  Uso Eficiente y Sostenible del Agua
Actividades: 1.2.1.1-  Realizar seguimiento a la implementación de los Programas de Ahorro y Uso Eficiente del Agua (PUEAA) de los usuarios del Recurso Hídrico.</v>
      </c>
      <c r="J10" s="654">
        <f>+'5PUEAA'!E13</f>
        <v>0</v>
      </c>
      <c r="K10" s="643" t="str">
        <f t="shared" si="0"/>
        <v/>
      </c>
      <c r="L10" s="423" t="str">
        <f t="shared" si="1"/>
        <v>Línea Estratégica No. 1. Gestión para la Sostenibilidad del Recurso hídrico; 
Programa 1.2.:  HIDROVALOR: Agua de Calidad para la Vida
Proyecto 1.2.1:  Uso Eficiente y Sostenible del Agua
Actividades: 1.2.1.1-  Realizar seguimiento a la implementación de los Programas de Ahorro y Uso Eficiente del Agua (PUEAA) de los usuarios del Recurso Hídrico.</v>
      </c>
      <c r="M10" s="424" t="str">
        <f t="shared" si="2"/>
        <v/>
      </c>
      <c r="N10" s="425" t="s">
        <v>618</v>
      </c>
      <c r="O10" s="643" t="str">
        <f t="shared" si="3"/>
        <v>Línea Estratégica No. 1. Gestión para la Sostenibilidad del Recurso hídrico; 
Programa 1.2.:  HIDROVALOR: Agua de Calidad para la Vida
Proyecto 1.2.1:  Uso Eficiente y Sostenible del Agua
Actividades: 1.2.1.1-  Realizar seguimiento a la implementación de los Programas de Ahorro y Uso Eficiente del Agua (PUEAA) de los usuarios del Recurso Hídrico.</v>
      </c>
      <c r="P10" s="423"/>
      <c r="Q10" s="424" t="str">
        <f t="shared" si="5"/>
        <v xml:space="preserve"> </v>
      </c>
      <c r="R10" s="425" t="s">
        <v>618</v>
      </c>
      <c r="S10" s="644"/>
    </row>
    <row r="11" spans="1:19" ht="60">
      <c r="A11" s="420" t="s">
        <v>711</v>
      </c>
      <c r="B11" s="421" t="s">
        <v>11</v>
      </c>
      <c r="C11" s="426">
        <f>+'6POMCASejec'!E27</f>
        <v>0.66666666666666663</v>
      </c>
      <c r="D11" s="426">
        <f>+'6POMCASejec'!F27</f>
        <v>0.5</v>
      </c>
      <c r="E11" s="426">
        <f>+'6POMCASejec'!G27</f>
        <v>1</v>
      </c>
      <c r="F11" s="426">
        <f>+'6POMCASejec'!H27</f>
        <v>1</v>
      </c>
      <c r="H11" s="653" t="str">
        <f>+'6POMCASejec'!F10</f>
        <v/>
      </c>
      <c r="I11" s="422" t="str">
        <f>+'6POMCASejec'!E12</f>
        <v>Línea Estratégica No. 1. Gestión para la Sostenibilidad del Recurso hídrico; 
Programa 1.1.:  GHI - Gestión Hidrica Integral  
Proyecto 1.1.1.  Planificación del Recurso Hidrico 
Actividades: 1.1.1.1 - 1.1.1.2 - 1.1.1.4</v>
      </c>
      <c r="J11" s="654">
        <f>+'6POMCASejec'!E13</f>
        <v>0</v>
      </c>
      <c r="K11" s="643" t="str">
        <f t="shared" si="0"/>
        <v/>
      </c>
      <c r="L11" s="423" t="str">
        <f t="shared" si="1"/>
        <v>Línea Estratégica No. 1. Gestión para la Sostenibilidad del Recurso hídrico; 
Programa 1.1.:  GHI - Gestión Hidrica Integral  
Proyecto 1.1.1.  Planificación del Recurso Hidrico 
Actividades: 1.1.1.1 - 1.1.1.2 - 1.1.1.4</v>
      </c>
      <c r="M11" s="424" t="str">
        <f t="shared" si="2"/>
        <v/>
      </c>
      <c r="N11" s="425" t="s">
        <v>618</v>
      </c>
      <c r="O11" s="643" t="str">
        <f t="shared" si="3"/>
        <v>Línea Estratégica No. 1. Gestión para la Sostenibilidad del Recurso hídrico; 
Programa 1.1.:  GHI - Gestión Hidrica Integral  
Proyecto 1.1.1.  Planificación del Recurso Hidrico 
Actividades: 1.1.1.1 - 1.1.1.2 - 1.1.1.4</v>
      </c>
      <c r="P11" s="423"/>
      <c r="Q11" s="424" t="str">
        <f t="shared" si="5"/>
        <v xml:space="preserve"> </v>
      </c>
      <c r="R11" s="425" t="s">
        <v>618</v>
      </c>
      <c r="S11" s="644"/>
    </row>
    <row r="12" spans="1:19" ht="145.35" customHeight="1">
      <c r="A12" s="420" t="s">
        <v>712</v>
      </c>
      <c r="B12" s="421" t="s">
        <v>13</v>
      </c>
      <c r="C12" s="426">
        <f>+'7Clima'!E19</f>
        <v>1</v>
      </c>
      <c r="D12" s="426">
        <f>+'7Clima'!F19</f>
        <v>1</v>
      </c>
      <c r="E12" s="426" t="str">
        <f>+'7Clima'!G19</f>
        <v>N.A.</v>
      </c>
      <c r="F12" s="426" t="str">
        <f>+'7Clima'!H19</f>
        <v>N.A.</v>
      </c>
      <c r="H12" s="653" t="str">
        <f>+'7Clima'!F10</f>
        <v/>
      </c>
      <c r="I12" s="422" t="str">
        <f>+'7Clima'!E12</f>
        <v>Línea Estratégica No. 5: Cambio Climático y Gestión del Riesgo
Programa  5.5 : Gestión del Riesgo y cambio Climático 
Proyecto: 5.5.1 : Conocimiento y Adaptación a la Gestión del Riesgo
Actividad  5.5.1.2 -  Promover asesorías para el conocimiento y reducción del riesgo de desastres e incorporación de la gestión del riesgo en el ordenamiento territorial de los municipios
Actividad 5.5.1.3 - Acompañamiento Técnico en la formulación de proyectos relacionados con la acción climática en municipios de la jurisdicción de la C.R.A..</v>
      </c>
      <c r="J12" s="654">
        <f>+'7Clima'!E13</f>
        <v>0</v>
      </c>
      <c r="K12" s="643" t="str">
        <f t="shared" si="0"/>
        <v/>
      </c>
      <c r="L12" s="423" t="str">
        <f t="shared" si="1"/>
        <v>Línea Estratégica No. 5: Cambio Climático y Gestión del Riesgo
Programa  5.5 : Gestión del Riesgo y cambio Climático 
Proyecto: 5.5.1 : Conocimiento y Adaptación a la Gestión del Riesgo
Actividad  5.5.1.2 -  Promover asesorías para el conocimiento y reducción del riesgo de desastres e incorporación de la gestión del riesgo en el ordenamiento territorial de los municipios
Actividad 5.5.1.3 - Acompañamiento Técnico en la formulación de proyectos relacionados con la acción climática en municipios de la jurisdicción de la C.R.A..</v>
      </c>
      <c r="M12" s="424" t="str">
        <f t="shared" si="2"/>
        <v/>
      </c>
      <c r="N12" s="425" t="s">
        <v>618</v>
      </c>
      <c r="O12" s="643" t="str">
        <f t="shared" si="3"/>
        <v>Línea Estratégica No. 5: Cambio Climático y Gestión del Riesgo
Programa  5.5 : Gestión del Riesgo y cambio Climático 
Proyecto: 5.5.1 : Conocimiento y Adaptación a la Gestión del Riesgo
Actividad  5.5.1.2 -  Promover asesorías para el conocimiento y reducción del riesgo de desastres e incorporación de la gestión del riesgo en el ordenamiento territorial de los municipios
Actividad 5.5.1.3 - Acompañamiento Técnico en la formulación de proyectos relacionados con la acción climática en municipios de la jurisdicción de la C.R.A..</v>
      </c>
      <c r="P12" s="423"/>
      <c r="Q12" s="424" t="str">
        <f t="shared" si="5"/>
        <v xml:space="preserve"> </v>
      </c>
      <c r="R12" s="425" t="s">
        <v>618</v>
      </c>
      <c r="S12" s="644"/>
    </row>
    <row r="13" spans="1:19" ht="260.39999999999998" customHeight="1">
      <c r="A13" s="420" t="s">
        <v>713</v>
      </c>
      <c r="B13" s="421" t="s">
        <v>15</v>
      </c>
      <c r="C13" s="426" t="str">
        <f>+'8Suelo'!E19</f>
        <v>N.A.</v>
      </c>
      <c r="D13" s="426">
        <f>+'8Suelo'!F19</f>
        <v>1</v>
      </c>
      <c r="E13" s="426">
        <f>+'8Suelo'!G19</f>
        <v>0</v>
      </c>
      <c r="F13" s="426">
        <f>+'8Suelo'!H19</f>
        <v>0</v>
      </c>
      <c r="H13" s="653" t="str">
        <f>+'8Suelo'!F11</f>
        <v>Acuerdo No.0005 del 07 de mayo del 2024 del Consejo Directivo de la C.R.A. por medio del cual se aprueba el Plan de Acción Institucional 2024 - 2027 con la programación para el cumplimiento de este indicador.</v>
      </c>
      <c r="I13" s="422" t="str">
        <f>+'8Suelo'!E12</f>
        <v xml:space="preserve">Línea Estratégica No. 2: Gestión para la Conservación Sostenible de los Recursos Naturales
Programa 2.1   : Biodiversidad y Riqueza de los Ecosistemas Terrestres y marino Costeros
Proyecto 2.1.1 : Conservación de Ecosistemas Terrestres
Actividades: 2.1.1.2 -  Realizar intervención en suelos degradados del Departamento del Atlántico
</v>
      </c>
      <c r="J13" s="654" t="str">
        <f>+'8Suelo'!E13</f>
        <v>Meta programada en el PAI 2024-2027 a partir de la vigencia 2025</v>
      </c>
      <c r="K13" s="643" t="str">
        <f t="shared" si="0"/>
        <v/>
      </c>
      <c r="L13" s="423" t="str">
        <f t="shared" si="1"/>
        <v xml:space="preserve">Línea Estratégica No. 2: Gestión para la Conservación Sostenible de los Recursos Naturales
Programa 2.1   : Biodiversidad y Riqueza de los Ecosistemas Terrestres y marino Costeros
Proyecto 2.1.1 : Conservación de Ecosistemas Terrestres
Actividades: 2.1.1.2 -  Realizar intervención en suelos degradados del Departamento del Atlántico
</v>
      </c>
      <c r="M13" s="424" t="str">
        <f t="shared" si="2"/>
        <v>Meta programada en el PAI 2024-2027 a partir de la vigencia 2025</v>
      </c>
      <c r="N13" s="425" t="s">
        <v>618</v>
      </c>
      <c r="O13" s="643" t="str">
        <f t="shared" si="3"/>
        <v xml:space="preserve">Línea Estratégica No. 2: Gestión para la Conservación Sostenible de los Recursos Naturales
Programa 2.1   : Biodiversidad y Riqueza de los Ecosistemas Terrestres y marino Costeros
Proyecto 2.1.1 : Conservación de Ecosistemas Terrestres
Actividades: 2.1.1.2 -  Realizar intervención en suelos degradados del Departamento del Atlántico
</v>
      </c>
      <c r="P13" s="423"/>
      <c r="Q13" s="424" t="str">
        <f t="shared" si="5"/>
        <v xml:space="preserve"> </v>
      </c>
      <c r="R13" s="425" t="s">
        <v>618</v>
      </c>
      <c r="S13" s="644"/>
    </row>
    <row r="14" spans="1:19" ht="252">
      <c r="A14" s="420" t="s">
        <v>714</v>
      </c>
      <c r="B14" s="421" t="s">
        <v>17</v>
      </c>
      <c r="C14" s="426" t="str">
        <f>+'9RUNAP'!E84</f>
        <v>N.A.</v>
      </c>
      <c r="D14" s="426">
        <f>+'9RUNAP'!F84</f>
        <v>1</v>
      </c>
      <c r="E14" s="426" t="str">
        <f>+'9RUNAP'!G84</f>
        <v>N.A.</v>
      </c>
      <c r="F14" s="426" t="str">
        <f>+'9RUNAP'!H84</f>
        <v>N.A.</v>
      </c>
      <c r="H14" s="653">
        <f>+'9RUNAP'!F12</f>
        <v>0</v>
      </c>
      <c r="I14" s="422" t="str">
        <f>+'9RUNAP'!E13</f>
        <v>Línea Estratégica No. 2: Gestión para la Conservación Sostenible de los Recursos Naturales
Programa 2.2   : Estrategias Regionales de Conservación 
Proyecto 2.2.1 : Áreas Protegidas
Actividades: 2.2.1.1: . Declarar, ampliar, homologar o recategorizar áreas protegidas en el departamento inscritas ante el RUNAP.</v>
      </c>
      <c r="J14" s="654" t="str">
        <f>+'9RUNAP'!E14</f>
        <v>Acuerdo No.0005 del 07 de mayo del 2024 del Consejo Directivo de la C.R.A. por medio del cual se aprueba el Plan de Acción Institucional 2024 - 2027 con la programación para el cumplimiento de este indicador. Se programó declarar 1 área protegida en la vigencia 2025, correspondiente al Cerro La Vieja, la cual se logró declarar bajo el Acuerdo No. 00031 de 2025 “POR MEDIO EL CUAL SE DECLARA EL CERRO LA VIEJA UBICADO EN EL MUNICIPIO DE PIOJÓ, DEPARTAMENTO DEL ATLÁNTICO,  COMO DISTRITO REGIONAL DE  MANEJO INTEGRADO (DRMI).</v>
      </c>
      <c r="K14" s="643" t="str">
        <f t="shared" si="0"/>
        <v/>
      </c>
      <c r="L14" s="423" t="str">
        <f t="shared" si="1"/>
        <v>Línea Estratégica No. 2: Gestión para la Conservación Sostenible de los Recursos Naturales
Programa 2.2   : Estrategias Regionales de Conservación 
Proyecto 2.2.1 : Áreas Protegidas
Actividades: 2.2.1.1: . Declarar, ampliar, homologar o recategorizar áreas protegidas en el departamento inscritas ante el RUNAP.</v>
      </c>
      <c r="M14" s="424" t="str">
        <f t="shared" si="2"/>
        <v>Acuerdo No.0005 del 07 de mayo del 2024 del Consejo Directivo de la C.R.A. por medio del cual se aprueba el Plan de Acción Institucional 2024 - 2027 con la programación para el cumplimiento de este indicador. Se programó declarar 1 área protegida en la vigencia 2025, correspondiente al Cerro La Vieja, la cual se logró declarar bajo el Acuerdo No. 00031 de 2025 “POR MEDIO EL CUAL SE DECLARA EL CERRO LA VIEJA UBICADO EN EL MUNICIPIO DE PIOJÓ, DEPARTAMENTO DEL ATLÁNTICO,  COMO DISTRITO REGIONAL DE  MANEJO INTEGRADO (DRMI).</v>
      </c>
      <c r="N14" s="425" t="s">
        <v>618</v>
      </c>
      <c r="O14" s="643" t="str">
        <f t="shared" si="3"/>
        <v>Línea Estratégica No. 2: Gestión para la Conservación Sostenible de los Recursos Naturales
Programa 2.2   : Estrategias Regionales de Conservación 
Proyecto 2.2.1 : Áreas Protegidas
Actividades: 2.2.1.1: . Declarar, ampliar, homologar o recategorizar áreas protegidas en el departamento inscritas ante el RUNAP.</v>
      </c>
      <c r="P14" s="423"/>
      <c r="Q14" s="424" t="str">
        <f t="shared" si="5"/>
        <v xml:space="preserve"> </v>
      </c>
      <c r="R14" s="425" t="s">
        <v>618</v>
      </c>
      <c r="S14" s="644"/>
    </row>
    <row r="15" spans="1:19" ht="43.5" customHeight="1">
      <c r="A15" s="420" t="s">
        <v>715</v>
      </c>
      <c r="B15" s="421" t="s">
        <v>19</v>
      </c>
      <c r="C15" s="426" t="s">
        <v>716</v>
      </c>
      <c r="D15" s="426" t="s">
        <v>716</v>
      </c>
      <c r="E15" s="426" t="str">
        <f>'10Paramos'!D8</f>
        <v>NO APLICA</v>
      </c>
      <c r="F15" s="426" t="str">
        <f>'10Paramos'!D8</f>
        <v>NO APLICA</v>
      </c>
      <c r="H15" s="653" t="str">
        <f>+'11Forest'!F11</f>
        <v>Acuerdo No.0005 del 07 de mayo del 2024 del Consejo Directivo de la C.R.A. por medio del cual se aprueba el Plan de Acción Institucional 2024 - 2027 con la programación para el cumplimiento de este indicador.</v>
      </c>
      <c r="I15" s="422">
        <f>'10Paramos'!E12</f>
        <v>0</v>
      </c>
      <c r="J15" s="654" t="str">
        <f>'10Paramos'!E13</f>
        <v>NO APLICA PARA LA JURISDICCIÓN DE LA C.R.A.</v>
      </c>
      <c r="K15" s="643" t="str">
        <f t="shared" si="0"/>
        <v>Acuerdo No.0005 del 07 de mayo del 2024 del Consejo Directivo de la C.R.A. por medio del cual se aprueba el Plan de Acción Institucional 2024 - 2027 con la programación para el cumplimiento de este indicador.</v>
      </c>
      <c r="L15" s="423" t="str">
        <f t="shared" si="1"/>
        <v/>
      </c>
      <c r="M15" s="424" t="str">
        <f t="shared" si="2"/>
        <v>NO APLICA PARA LA JURISDICCIÓN DE LA C.R.A.</v>
      </c>
      <c r="N15" s="425" t="s">
        <v>618</v>
      </c>
      <c r="O15" s="643" t="str">
        <f t="shared" si="3"/>
        <v/>
      </c>
      <c r="P15" s="423"/>
      <c r="Q15" s="424" t="str">
        <f t="shared" si="5"/>
        <v xml:space="preserve"> </v>
      </c>
      <c r="R15" s="425" t="s">
        <v>618</v>
      </c>
      <c r="S15" s="644"/>
    </row>
    <row r="16" spans="1:19" ht="336">
      <c r="A16" s="420" t="s">
        <v>717</v>
      </c>
      <c r="B16" s="421" t="s">
        <v>20</v>
      </c>
      <c r="C16" s="426" t="e">
        <f>+'11Forest'!M34</f>
        <v>#DIV/0!</v>
      </c>
      <c r="D16" s="426">
        <f>+'11Forest'!N34</f>
        <v>1</v>
      </c>
      <c r="E16" s="426">
        <f>+'11Forest'!O34</f>
        <v>0</v>
      </c>
      <c r="F16" s="426">
        <f>+'11Forest'!P34</f>
        <v>0</v>
      </c>
      <c r="H16" s="653" t="str">
        <f>+'11Forest'!F11</f>
        <v>Acuerdo No.0005 del 07 de mayo del 2024 del Consejo Directivo de la C.R.A. por medio del cual se aprueba el Plan de Acción Institucional 2024 - 2027 con la programación para el cumplimiento de este indicador.</v>
      </c>
      <c r="I16" s="422" t="str">
        <f>+'11Forest'!E12</f>
        <v xml:space="preserve">
Línea Estratégica No. 2: Gestión para la Conservación Sostenible de los Recursos Naturales
Programa 2.1:  Biodiversidad y riqueza de los Ecosistemas Terrestres y Marino Costeros
Proyecto 2.1.2. Fortalecimiento de herramientas para la Gobernanza Forestal
Actividad 2.1.2.1. : Ajustar el Plan de Ordenamiento Forestal</v>
      </c>
      <c r="J16" s="654" t="str">
        <f>+'11Forest'!E13</f>
        <v xml:space="preserve">El Plan de Ordenamiento Forestal fue adoptado a través de la Resolución No.859 del 2018 de la C.R.A., se contempló actualizar el mismo durante la vigencia del próximo Plan de Acción 2024-2027.
En la vigencia 2.025 se suscribió el Convenio 014 del 2025 “AUNAR ESFUERZOS ADMINISTRATIVOS, TÉCNICOS Y FINANCIEROS PARA EL AJUSTE AL PLAN DE ORDENAMIENTO FORESTAL DE LA CORPORACIÓN AUTÓNOMA REGIONAL DEL ATLÁNTICO - CRA, A TRAVÉS DE LA CARACTERIZACIÓN, DIAGNÓSTICO Y ACTUALIZACIÓN DE LOS INSTRUMENTOS DE ORDENACIÓN FORESTAL DEL ÁREA DE SU JURISDICCIÓN, ORIENTADO AL FORTALECIMIENTO DE LA GESTIÓN Y LA GOBERNANZA”, 
</v>
      </c>
      <c r="K16" s="643" t="str">
        <f t="shared" si="0"/>
        <v/>
      </c>
      <c r="L16" s="423" t="str">
        <f t="shared" si="1"/>
        <v xml:space="preserve">
Línea Estratégica No. 2: Gestión para la Conservación Sostenible de los Recursos Naturales
Programa 2.1:  Biodiversidad y riqueza de los Ecosistemas Terrestres y Marino Costeros
Proyecto 2.1.2. Fortalecimiento de herramientas para la Gobernanza Forestal
Actividad 2.1.2.1. : Ajustar el Plan de Ordenamiento Forestal</v>
      </c>
      <c r="M16" s="424" t="str">
        <f t="shared" si="2"/>
        <v xml:space="preserve">El Plan de Ordenamiento Forestal fue adoptado a través de la Resolución No.859 del 2018 de la C.R.A., se contempló actualizar el mismo durante la vigencia del próximo Plan de Acción 2024-2027.
En la vigencia 2.025 se suscribió el Convenio 014 del 2025 “AUNAR ESFUERZOS ADMINISTRATIVOS, TÉCNICOS Y FINANCIEROS PARA EL AJUSTE AL PLAN DE ORDENAMIENTO FORESTAL DE LA CORPORACIÓN AUTÓNOMA REGIONAL DEL ATLÁNTICO - CRA, A TRAVÉS DE LA CARACTERIZACIÓN, DIAGNÓSTICO Y ACTUALIZACIÓN DE LOS INSTRUMENTOS DE ORDENACIÓN FORESTAL DEL ÁREA DE SU JURISDICCIÓN, ORIENTADO AL FORTALECIMIENTO DE LA GESTIÓN Y LA GOBERNANZA”, 
</v>
      </c>
      <c r="N16" s="425" t="s">
        <v>618</v>
      </c>
      <c r="O16" s="643" t="str">
        <f t="shared" si="3"/>
        <v xml:space="preserve">
Línea Estratégica No. 2: Gestión para la Conservación Sostenible de los Recursos Naturales
Programa 2.1:  Biodiversidad y riqueza de los Ecosistemas Terrestres y Marino Costeros
Proyecto 2.1.2. Fortalecimiento de herramientas para la Gobernanza Forestal
Actividad 2.1.2.1. : Ajustar el Plan de Ordenamiento Forestal</v>
      </c>
      <c r="P16" s="423"/>
      <c r="Q16" s="424" t="str">
        <f t="shared" si="5"/>
        <v xml:space="preserve"> </v>
      </c>
      <c r="R16" s="425" t="s">
        <v>618</v>
      </c>
      <c r="S16" s="644"/>
    </row>
    <row r="17" spans="1:19" ht="108">
      <c r="A17" s="420" t="s">
        <v>718</v>
      </c>
      <c r="B17" s="421" t="s">
        <v>21</v>
      </c>
      <c r="C17" s="426">
        <f>+'12PlanesAP'!D8</f>
        <v>1</v>
      </c>
      <c r="D17" s="426"/>
      <c r="E17" s="426"/>
      <c r="F17" s="426"/>
      <c r="H17" s="653" t="str">
        <f>+'12PlanesAP'!F10</f>
        <v/>
      </c>
      <c r="I17" s="422" t="str">
        <f>+'12PlanesAP'!E12</f>
        <v>Línea Estratégica No. 2: Gestión para la Conservación Sostenible de los Recursos Naturales
Programa 2.2   : Estrategias Regionales de Conservación 
Proyecto 2.2.1 : Áreas Protegidas
Actividad: 2.2.1.2. Elaborar o actualizar los Planes de Manejo de las Áreas Protegidas del departamento
Actividad 2.2.1.3. Ejecutar acciones contempladas en los planes de manejo de las áreas protegidas declaradas en el departamento</v>
      </c>
      <c r="J17" s="654">
        <f>+'12PlanesAP'!E13</f>
        <v>0</v>
      </c>
      <c r="K17" s="643" t="str">
        <f t="shared" si="0"/>
        <v/>
      </c>
      <c r="L17" s="423" t="str">
        <f t="shared" si="1"/>
        <v>Línea Estratégica No. 2: Gestión para la Conservación Sostenible de los Recursos Naturales
Programa 2.2   : Estrategias Regionales de Conservación 
Proyecto 2.2.1 : Áreas Protegidas
Actividad: 2.2.1.2. Elaborar o actualizar los Planes de Manejo de las Áreas Protegidas del departamento
Actividad 2.2.1.3. Ejecutar acciones contempladas en los planes de manejo de las áreas protegidas declaradas en el departamento</v>
      </c>
      <c r="M17" s="424" t="str">
        <f t="shared" si="2"/>
        <v/>
      </c>
      <c r="N17" s="425" t="s">
        <v>618</v>
      </c>
      <c r="O17" s="643" t="str">
        <f t="shared" si="3"/>
        <v>Línea Estratégica No. 2: Gestión para la Conservación Sostenible de los Recursos Naturales
Programa 2.2   : Estrategias Regionales de Conservación 
Proyecto 2.2.1 : Áreas Protegidas
Actividad: 2.2.1.2. Elaborar o actualizar los Planes de Manejo de las Áreas Protegidas del departamento
Actividad 2.2.1.3. Ejecutar acciones contempladas en los planes de manejo de las áreas protegidas declaradas en el departamento</v>
      </c>
      <c r="P17" s="423"/>
      <c r="Q17" s="424" t="str">
        <f t="shared" si="5"/>
        <v xml:space="preserve"> </v>
      </c>
      <c r="R17" s="425" t="s">
        <v>618</v>
      </c>
      <c r="S17" s="644"/>
    </row>
    <row r="18" spans="1:19" ht="284.39999999999998" customHeight="1">
      <c r="A18" s="420" t="s">
        <v>719</v>
      </c>
      <c r="B18" s="421" t="s">
        <v>22</v>
      </c>
      <c r="C18" s="426" t="s">
        <v>720</v>
      </c>
      <c r="D18" s="426" t="s">
        <v>720</v>
      </c>
      <c r="E18" s="426" t="s">
        <v>720</v>
      </c>
      <c r="F18" s="658">
        <f>+'13Amenaz'!D8</f>
        <v>1</v>
      </c>
      <c r="H18" s="653" t="str">
        <f>+'13Amenaz'!F10</f>
        <v/>
      </c>
      <c r="I18" s="422" t="str">
        <f>+'13Amenaz'!E12</f>
        <v>Línea Estratégica No. 2: Gestión para la Conservación Sostenible de los Recursos Naturales
Programa 2.1:  Biodiversidad y riqueza de los Ecosistemas Terrestres y Marino Costeros
Proyecto 2.1.1. Conservación de Ecosistemas Terrestres
Actividad 2.1.1.5: Implementar medidas de manejo y conservación de especies amenazadas en el departamento del Atlántico
Meta (A) : Un (1) documento técnico formulado con medidas de manejo y conservación de una especie amenazada identificada en el departamento 
Meta (B):  Cincuenta por ciento (50%) de avance en la implementación del documento técnico de medidas de manejo y conservación de especies amenazadas identificadas en el departamento 
Nota: No se reporta en la vigencia 2024 dado que se tiene programación de ejecución a partir de la vigencia 2025</v>
      </c>
      <c r="J18" s="654" t="str">
        <f>+'13Amenaz'!E13</f>
        <v xml:space="preserve"> Según la priorización de las especies amenazadas en la jurisdicción, reportada de acuerdo  a Resolución No. 0346 del 24 de Marzo 2022 se tiene: 
Fauna Continental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Fauna Marina
• Cocodrilo americano (Crocodylus acutus)
• Tortuga del río Magdalena (Podocnemis lewyana)
Flora Continental
• Carreto (Aspidosperma  polyneuron)  
• Ceiba roja (Pachira quinata) 
• Cedro (Cedrela odorata) 
• Guayacan (Bulnesia arborea)
• Guayacan de cartagena (Guaiacum officinale)
</v>
      </c>
      <c r="K18" s="643" t="str">
        <f t="shared" si="0"/>
        <v/>
      </c>
      <c r="L18" s="423" t="str">
        <f t="shared" si="1"/>
        <v>Línea Estratégica No. 2: Gestión para la Conservación Sostenible de los Recursos Naturales
Programa 2.1:  Biodiversidad y riqueza de los Ecosistemas Terrestres y Marino Costeros
Proyecto 2.1.1. Conservación de Ecosistemas Terrestres
Actividad 2.1.1.5: Implementar medidas de manejo y conservación de especies amenazadas en el departamento del Atlántico
Meta (A) : Un (1) documento técnico formulado con medidas de manejo y conservación de una especie amenazada identificada en el departamento 
Meta (B):  Cincuenta por ciento (50%) de avance en la implementación del documento técnico de medidas de manejo y conservación de especies amenazadas identificadas en el departamento 
Nota: No se reporta en la vigencia 2024 dado que se tiene programación de ejecución a partir de la vigencia 2025</v>
      </c>
      <c r="M18" s="424" t="str">
        <f t="shared" si="2"/>
        <v xml:space="preserve"> Según la priorización de las especies amenazadas en la jurisdicción, reportada de acuerdo  a Resolución No. 0346 del 24 de Marzo 2022 se tiene: 
Fauna Continental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Fauna Marina
• Cocodrilo americano (Crocodylus acutus)
• Tortuga del río Magdalena (Podocnemis lewyana)
Flora Continental
• Carreto (Aspidosperma  polyneuron)  
• Ceiba roja (Pachira quinata) 
• Cedro (Cedrela odorata) 
• Guayacan (Bulnesia arborea)
• Guayacan de cartagena (Guaiacum officinale)
</v>
      </c>
      <c r="N18" s="425" t="s">
        <v>618</v>
      </c>
      <c r="O18" s="643" t="str">
        <f t="shared" si="3"/>
        <v>Línea Estratégica No. 2: Gestión para la Conservación Sostenible de los Recursos Naturales
Programa 2.1:  Biodiversidad y riqueza de los Ecosistemas Terrestres y Marino Costeros
Proyecto 2.1.1. Conservación de Ecosistemas Terrestres
Actividad 2.1.1.5: Implementar medidas de manejo y conservación de especies amenazadas en el departamento del Atlántico
Meta (A) : Un (1) documento técnico formulado con medidas de manejo y conservación de una especie amenazada identificada en el departamento 
Meta (B):  Cincuenta por ciento (50%) de avance en la implementación del documento técnico de medidas de manejo y conservación de especies amenazadas identificadas en el departamento 
Nota: No se reporta en la vigencia 2024 dado que se tiene programación de ejecución a partir de la vigencia 2025</v>
      </c>
      <c r="P18" s="423"/>
      <c r="Q18" s="424" t="str">
        <f t="shared" si="5"/>
        <v xml:space="preserve"> </v>
      </c>
      <c r="R18" s="425" t="s">
        <v>618</v>
      </c>
      <c r="S18" s="644"/>
    </row>
    <row r="19" spans="1:19" ht="312">
      <c r="A19" s="420" t="s">
        <v>721</v>
      </c>
      <c r="B19" s="421" t="s">
        <v>23</v>
      </c>
      <c r="C19" s="426">
        <f>+'14Invasor'!D8</f>
        <v>1</v>
      </c>
      <c r="D19" s="426"/>
      <c r="E19" s="426"/>
      <c r="F19" s="426"/>
      <c r="H19" s="653" t="str">
        <f>+'14Invasor'!F10</f>
        <v/>
      </c>
      <c r="I19" s="422" t="str">
        <f>+'14Invasor'!E12</f>
        <v xml:space="preserve">Línea Estratégica No. 2: Gestión para la Conservación Sostenible de los Recursos Naturales
Programa 2.1:  Biodiversidad y riqueza de los Ecosistemas Terrestres y Marino Costeros
Proyecto 2.1.1. Conservación de Ecosistemas Terrestres
Actividad 2.1.1.3.  Identificar y monitorear especies exóticas invasoras en el departamento del Atlántico
Actividad 2.1.1.4. Implementar medidas de prevención, control y manejo de las principales especies exóticas invasoras del departamento
</v>
      </c>
      <c r="J19" s="654" t="str">
        <f>+'14Invasor'!E13</f>
        <v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Estas 6 especies son: 
Flora continental:
• Buchon (Eichornia crassipes)
Fauna continental:
• Caracol Gigante Africano (Achatina áulica); 
• Rana Coqui (Eleutherodactylus coquí),
Fauna Marina:
• Camarón de Asia (Penaeus monodon);
• Tilapia negra (Oreochromis mossaambicus);
• Pez Leon (Pterois volitans) 
</v>
      </c>
      <c r="K19" s="643" t="str">
        <f t="shared" si="0"/>
        <v/>
      </c>
      <c r="L19" s="423" t="str">
        <f t="shared" si="1"/>
        <v xml:space="preserve">Línea Estratégica No. 2: Gestión para la Conservación Sostenible de los Recursos Naturales
Programa 2.1:  Biodiversidad y riqueza de los Ecosistemas Terrestres y Marino Costeros
Proyecto 2.1.1. Conservación de Ecosistemas Terrestres
Actividad 2.1.1.3.  Identificar y monitorear especies exóticas invasoras en el departamento del Atlántico
Actividad 2.1.1.4. Implementar medidas de prevención, control y manejo de las principales especies exóticas invasoras del departamento
</v>
      </c>
      <c r="M19" s="424" t="str">
        <f t="shared" si="2"/>
        <v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Estas 6 especies son: 
Flora continental:
• Buchon (Eichornia crassipes)
Fauna continental:
• Caracol Gigante Africano (Achatina áulica); 
• Rana Coqui (Eleutherodactylus coquí),
Fauna Marina:
• Camarón de Asia (Penaeus monodon);
• Tilapia negra (Oreochromis mossaambicus);
• Pez Leon (Pterois volitans) 
</v>
      </c>
      <c r="N19" s="425" t="s">
        <v>618</v>
      </c>
      <c r="O19" s="643" t="str">
        <f t="shared" si="3"/>
        <v xml:space="preserve">Línea Estratégica No. 2: Gestión para la Conservación Sostenible de los Recursos Naturales
Programa 2.1:  Biodiversidad y riqueza de los Ecosistemas Terrestres y Marino Costeros
Proyecto 2.1.1. Conservación de Ecosistemas Terrestres
Actividad 2.1.1.3.  Identificar y monitorear especies exóticas invasoras en el departamento del Atlántico
Actividad 2.1.1.4. Implementar medidas de prevención, control y manejo de las principales especies exóticas invasoras del departamento
</v>
      </c>
      <c r="P19" s="423"/>
      <c r="Q19" s="424" t="str">
        <f t="shared" si="5"/>
        <v xml:space="preserve"> </v>
      </c>
      <c r="R19" s="425" t="s">
        <v>618</v>
      </c>
      <c r="S19" s="644"/>
    </row>
    <row r="20" spans="1:19" ht="312">
      <c r="A20" s="420" t="s">
        <v>722</v>
      </c>
      <c r="B20" s="421" t="s">
        <v>24</v>
      </c>
      <c r="C20" s="427">
        <f>+'15Restaura'!D8</f>
        <v>1</v>
      </c>
      <c r="D20" s="427"/>
      <c r="E20" s="426"/>
      <c r="F20" s="426"/>
      <c r="H20" s="653">
        <f>+'15Restaura'!F11</f>
        <v>0</v>
      </c>
      <c r="I20" s="422" t="str">
        <f>+'15Restaura'!E12</f>
        <v>Línea Estratégica No. 2: Gestión para la Conservación Sostenible de los Recursos Naturales
Programa 2.1   : Biodiversidad y Riqueza de los Ecosistemas Terrestres y marino Costeros
Proyecto 2.1.1 : Conservación de Ecosistemas Terrestres
Actividades: 2.1.1.1. Restaurar, conservar, recuperar o rehabilitar ecosistemas terrestres en el Departamento del Atlántico de acuerdo al estado de conservación del Ecosistema
Meta (A) : Ciento veinte (120) hectáreas de ecosistemas restauradas, recuperadas o rehabilitadas en el Departamento del Atlántico
Meta (B): Cuatro (4) proyectos de restauración y conservación de  áreas ambientales estratégicas para aumentar la capacidad de adaptación al cambio climático y la resiliencia ecosistémica del departamento, estructurados, formulados y presentados en convocatorias nacionales.
Proyecto 2.1.3 : Conservación de Ecosistemas Marino Costeros
Actividades: 2.1.3.2.: Restaurar, conservar, recuperar o rehabilitar ecosistemas marino-costeros en el Departamento del Atlántico 
Meta: Cuarenta (40) hectáreas de ecosistemas marino costeros restaurados, recuperados o rehabilitados en el Departamento del Atlántico</v>
      </c>
      <c r="J20" s="654">
        <f>+'15Restaura'!E13</f>
        <v>0</v>
      </c>
      <c r="K20" s="643">
        <f t="shared" si="0"/>
        <v>0</v>
      </c>
      <c r="L20" s="423" t="str">
        <f t="shared" si="1"/>
        <v>Línea Estratégica No. 2: Gestión para la Conservación Sostenible de los Recursos Naturales
Programa 2.1   : Biodiversidad y Riqueza de los Ecosistemas Terrestres y marino Costeros
Proyecto 2.1.1 : Conservación de Ecosistemas Terrestres
Actividades: 2.1.1.1. Restaurar, conservar, recuperar o rehabilitar ecosistemas terrestres en el Departamento del Atlántico de acuerdo al estado de conservación del Ecosistema
Meta (A) : Ciento veinte (120) hectáreas de ecosistemas restauradas, recuperadas o rehabilitadas en el Departamento del Atlántico
Meta (B): Cuatro (4) proyectos de restauración y conservación de  áreas ambientales estratégicas para aumentar la capacidad de adaptación al cambio climático y la resiliencia ecosistémica del departamento, estructurados, formulados y presentados en convocatorias nacionales.
Proyecto 2.1.3 : Conservación de Ecosistemas Marino Costeros
Actividades: 2.1.3.2.: Restaurar, conservar, recuperar o rehabilitar ecosistemas marino-costeros en el Departamento del Atlántico 
Meta: Cuarenta (40) hectáreas de ecosistemas marino costeros restaurados, recuperados o rehabilitados en el Departamento del Atlántico</v>
      </c>
      <c r="M20" s="424" t="str">
        <f t="shared" si="2"/>
        <v/>
      </c>
      <c r="N20" s="425" t="s">
        <v>618</v>
      </c>
      <c r="O20" s="643" t="str">
        <f t="shared" si="3"/>
        <v>Línea Estratégica No. 2: Gestión para la Conservación Sostenible de los Recursos Naturales
Programa 2.1   : Biodiversidad y Riqueza de los Ecosistemas Terrestres y marino Costeros
Proyecto 2.1.1 : Conservación de Ecosistemas Terrestres
Actividades: 2.1.1.1. Restaurar, conservar, recuperar o rehabilitar ecosistemas terrestres en el Departamento del Atlántico de acuerdo al estado de conservación del Ecosistema
Meta (A) : Ciento veinte (120) hectáreas de ecosistemas restauradas, recuperadas o rehabilitadas en el Departamento del Atlántico
Meta (B): Cuatro (4) proyectos de restauración y conservación de  áreas ambientales estratégicas para aumentar la capacidad de adaptación al cambio climático y la resiliencia ecosistémica del departamento, estructurados, formulados y presentados en convocatorias nacionales.
Proyecto 2.1.3 : Conservación de Ecosistemas Marino Costeros
Actividades: 2.1.3.2.: Restaurar, conservar, recuperar o rehabilitar ecosistemas marino-costeros en el Departamento del Atlántico 
Meta: Cuarenta (40) hectáreas de ecosistemas marino costeros restaurados, recuperados o rehabilitados en el Departamento del Atlántico</v>
      </c>
      <c r="P20" s="423"/>
      <c r="Q20" s="424" t="str">
        <f t="shared" si="5"/>
        <v xml:space="preserve"> </v>
      </c>
      <c r="R20" s="425" t="s">
        <v>618</v>
      </c>
      <c r="S20" s="644"/>
    </row>
    <row r="21" spans="1:19" ht="192">
      <c r="A21" s="420" t="s">
        <v>723</v>
      </c>
      <c r="B21" s="421" t="s">
        <v>25</v>
      </c>
      <c r="C21" s="426">
        <f>+'16MIZC'!D8</f>
        <v>1</v>
      </c>
      <c r="D21" s="426"/>
      <c r="E21" s="426"/>
      <c r="F21" s="426"/>
      <c r="H21" s="653" t="str">
        <f>+'16MIZC'!F10</f>
        <v/>
      </c>
      <c r="I21" s="422" t="str">
        <f>+'16MIZC'!E12</f>
        <v>Línea Estratégica No. 2: Gestión para la Conservación Sostenible de los Recursos Naturales
Programa 2.1   : Biodiversidad y Riqueza de los Ecosistemas Terrestres y marino Costeros
Proyecto 2.1.3: Conservación de Ecosistemas Marinos y Costeros
Actividades 2.1.3.1.: Implementar acciones que promuevan la conservación de la biodiversidad Marino-costera en el departamento del Atlántico
Actividades 2.1.3.2.: Restaurar o rehabilitar ecosistemas marino costeros en el Departamento del Atlántico
Actividades 2.1.3.3.: Realizar acciones encaminadas a la actualización de la ordenación del Ecosistema de Manglar 
Actividades 2.1.3.4:. Monitorear el ecosistema de manglar del departamento</v>
      </c>
      <c r="J21" s="654">
        <f>+'16MIZC'!E13</f>
        <v>0</v>
      </c>
      <c r="K21" s="643" t="str">
        <f t="shared" si="0"/>
        <v/>
      </c>
      <c r="L21" s="423" t="str">
        <f t="shared" si="1"/>
        <v>Línea Estratégica No. 2: Gestión para la Conservación Sostenible de los Recursos Naturales
Programa 2.1   : Biodiversidad y Riqueza de los Ecosistemas Terrestres y marino Costeros
Proyecto 2.1.3: Conservación de Ecosistemas Marinos y Costeros
Actividades 2.1.3.1.: Implementar acciones que promuevan la conservación de la biodiversidad Marino-costera en el departamento del Atlántico
Actividades 2.1.3.2.: Restaurar o rehabilitar ecosistemas marino costeros en el Departamento del Atlántico
Actividades 2.1.3.3.: Realizar acciones encaminadas a la actualización de la ordenación del Ecosistema de Manglar 
Actividades 2.1.3.4:. Monitorear el ecosistema de manglar del departamento</v>
      </c>
      <c r="M21" s="424" t="str">
        <f t="shared" si="2"/>
        <v/>
      </c>
      <c r="N21" s="425" t="s">
        <v>618</v>
      </c>
      <c r="O21" s="643" t="str">
        <f t="shared" si="3"/>
        <v>Línea Estratégica No. 2: Gestión para la Conservación Sostenible de los Recursos Naturales
Programa 2.1   : Biodiversidad y Riqueza de los Ecosistemas Terrestres y marino Costeros
Proyecto 2.1.3: Conservación de Ecosistemas Marinos y Costeros
Actividades 2.1.3.1.: Implementar acciones que promuevan la conservación de la biodiversidad Marino-costera en el departamento del Atlántico
Actividades 2.1.3.2.: Restaurar o rehabilitar ecosistemas marino costeros en el Departamento del Atlántico
Actividades 2.1.3.3.: Realizar acciones encaminadas a la actualización de la ordenación del Ecosistema de Manglar 
Actividades 2.1.3.4:. Monitorear el ecosistema de manglar del departamento</v>
      </c>
      <c r="P21" s="423"/>
      <c r="Q21" s="424" t="str">
        <f t="shared" si="5"/>
        <v xml:space="preserve"> </v>
      </c>
      <c r="R21" s="425" t="s">
        <v>618</v>
      </c>
      <c r="S21" s="644"/>
    </row>
    <row r="22" spans="1:19" ht="252">
      <c r="A22" s="420" t="s">
        <v>724</v>
      </c>
      <c r="B22" s="421" t="s">
        <v>26</v>
      </c>
      <c r="C22" s="426">
        <f>+'17PGIRS'!E22</f>
        <v>1</v>
      </c>
      <c r="D22" s="426"/>
      <c r="E22" s="426"/>
      <c r="F22" s="426"/>
      <c r="H22" s="653" t="str">
        <f>+'17PGIRS'!F10</f>
        <v/>
      </c>
      <c r="I22" s="422" t="str">
        <f>+'17PGIRS'!E12</f>
        <v xml:space="preserve">Línea Estratégica No. 4: Gestión para la Sostenibilidad Sectorial y Territorial
Programa 4.2. : CONMONITOR: Control y Monitoreo de los Recursos Naturales y el Ambiente
Proyecto 4.2.5.: Residuos Sólidos
Actividades 4.2.5.1:  Realizar seguimiento a las metas de aprovechamiento del Plan de Gestión Integral de Residuos Sólidos (PGIRS) municipales de la jurisdicción de la CRA
Actividades 4.2.5.2: Actualizar e implementar el Plan de Gestión Integral de Residuos - Residuos Peligrosos (PGIR-RESPEL) conforme a la política ambiental para la gestión integral de residuos peligrosos 2022-2030.
Meta (A):  Un (1) documento de actualización del Plan de Gestión Integral de Residuos - Residuos Peligrosos (PGIR-RESPEL) conforme a la política ambiental para la gestión integral de residuos peligrosos 2022-2030.
Meta (B):  Cien por ciento (100%) del  Plan de Gestión Integral de Residuos - Residuos Peligrosos (PGIR-RESPEL) implementado
</v>
      </c>
      <c r="J22" s="654">
        <f>+'17PGIRS'!E13</f>
        <v>0</v>
      </c>
      <c r="K22" s="643" t="str">
        <f t="shared" si="0"/>
        <v/>
      </c>
      <c r="L22" s="423" t="str">
        <f t="shared" si="1"/>
        <v xml:space="preserve">Línea Estratégica No. 4: Gestión para la Sostenibilidad Sectorial y Territorial
Programa 4.2. : CONMONITOR: Control y Monitoreo de los Recursos Naturales y el Ambiente
Proyecto 4.2.5.: Residuos Sólidos
Actividades 4.2.5.1:  Realizar seguimiento a las metas de aprovechamiento del Plan de Gestión Integral de Residuos Sólidos (PGIRS) municipales de la jurisdicción de la CRA
Actividades 4.2.5.2: Actualizar e implementar el Plan de Gestión Integral de Residuos - Residuos Peligrosos (PGIR-RESPEL) conforme a la política ambiental para la gestión integral de residuos peligrosos 2022-2030.
Meta (A):  Un (1) documento de actualización del Plan de Gestión Integral de Residuos - Residuos Peligrosos (PGIR-RESPEL) conforme a la política ambiental para la gestión integral de residuos peligrosos 2022-2030.
Meta (B):  Cien por ciento (100%) del  Plan de Gestión Integral de Residuos - Residuos Peligrosos (PGIR-RESPEL) implementado
</v>
      </c>
      <c r="M22" s="424" t="str">
        <f t="shared" si="2"/>
        <v/>
      </c>
      <c r="N22" s="425" t="s">
        <v>618</v>
      </c>
      <c r="O22" s="643" t="str">
        <f t="shared" si="3"/>
        <v xml:space="preserve">Línea Estratégica No. 4: Gestión para la Sostenibilidad Sectorial y Territorial
Programa 4.2. : CONMONITOR: Control y Monitoreo de los Recursos Naturales y el Ambiente
Proyecto 4.2.5.: Residuos Sólidos
Actividades 4.2.5.1:  Realizar seguimiento a las metas de aprovechamiento del Plan de Gestión Integral de Residuos Sólidos (PGIRS) municipales de la jurisdicción de la CRA
Actividades 4.2.5.2: Actualizar e implementar el Plan de Gestión Integral de Residuos - Residuos Peligrosos (PGIR-RESPEL) conforme a la política ambiental para la gestión integral de residuos peligrosos 2022-2030.
Meta (A):  Un (1) documento de actualización del Plan de Gestión Integral de Residuos - Residuos Peligrosos (PGIR-RESPEL) conforme a la política ambiental para la gestión integral de residuos peligrosos 2022-2030.
Meta (B):  Cien por ciento (100%) del  Plan de Gestión Integral de Residuos - Residuos Peligrosos (PGIR-RESPEL) implementado
</v>
      </c>
      <c r="P22" s="423"/>
      <c r="Q22" s="424" t="str">
        <f t="shared" si="5"/>
        <v xml:space="preserve"> </v>
      </c>
      <c r="R22" s="425" t="s">
        <v>618</v>
      </c>
      <c r="S22" s="644"/>
    </row>
    <row r="23" spans="1:19" ht="228">
      <c r="A23" s="420" t="s">
        <v>725</v>
      </c>
      <c r="B23" s="421" t="s">
        <v>27</v>
      </c>
      <c r="C23" s="426">
        <f>+'18Sector'!D8</f>
        <v>1</v>
      </c>
      <c r="D23" s="426"/>
      <c r="E23" s="426"/>
      <c r="F23" s="426"/>
      <c r="H23" s="653" t="str">
        <f>+'18Sector'!F10</f>
        <v/>
      </c>
      <c r="I23" s="422" t="str">
        <f>+'18Sector'!E12</f>
        <v xml:space="preserve">Línea Estratégica No. 5: Cambio Climático y Gestión del Riesgo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v>
      </c>
      <c r="J23" s="654">
        <f>+'18Sector'!E13</f>
        <v>0</v>
      </c>
      <c r="K23" s="643" t="str">
        <f t="shared" si="0"/>
        <v/>
      </c>
      <c r="L23" s="423" t="str">
        <f t="shared" si="1"/>
        <v xml:space="preserve">Línea Estratégica No. 5: Cambio Climático y Gestión del Riesgo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v>
      </c>
      <c r="M23" s="424" t="str">
        <f t="shared" si="2"/>
        <v/>
      </c>
      <c r="N23" s="425" t="s">
        <v>618</v>
      </c>
      <c r="O23" s="643" t="str">
        <f t="shared" si="3"/>
        <v xml:space="preserve">Línea Estratégica No. 5: Cambio Climático y Gestión del Riesgo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v>
      </c>
      <c r="P23" s="423"/>
      <c r="Q23" s="424" t="str">
        <f t="shared" si="5"/>
        <v xml:space="preserve"> </v>
      </c>
      <c r="R23" s="425" t="s">
        <v>618</v>
      </c>
      <c r="S23" s="644"/>
    </row>
    <row r="24" spans="1:19" ht="186" customHeight="1">
      <c r="A24" s="420" t="s">
        <v>726</v>
      </c>
      <c r="B24" s="421" t="s">
        <v>28</v>
      </c>
      <c r="C24" s="426">
        <f>+'19GAU'!D8</f>
        <v>0.9998999999999999</v>
      </c>
      <c r="D24" s="426"/>
      <c r="E24" s="426"/>
      <c r="F24" s="426"/>
      <c r="H24" s="653" t="str">
        <f>+'19GAU'!F10</f>
        <v/>
      </c>
      <c r="I24" s="422" t="str">
        <f>+'19GAU'!E12</f>
        <v>Línea Estratégica No. 5: Cambio Climático y Gestión del Riesgo
Programa  5.1. CARBONONEUTRALIDAD: Innovación institucional para la buena Gobernanza del cambio climático en el territorio
Proyecto:5.1.1. AtlántiCO2: Camino a la Carbononeutralidad
Actividad 5.1.1.1. Promover la descarbonización en sectores priorizados por la Corporación en el Departamento del Atlántico
Meta (A): Treinta (30) empresas con medición de huella de carbono realizadas y su Plan de gestión de GEI en la jurisdicción de la C.R.A.
Meta (B) Treinta (30) empresas con seguimiento de huella de carbono realizadas y su Plan de gestión de GEI en la jurisdicción de la C.R.A.
Proyecto 5.1.2.: Gobernanza climática: Estrategias para el fomento de la buena gestión del cambio climático en el territorio
Actividad5.1.2.1. Promover la descarbonización a través de espacios de discusión técnico-científica sobre Cambio Climático que reúnan a expertos, científicos y profesionales para intercambiar conocimientos ante los desafíos, avances y soluciones en materia de cambio climático. 
Programa 5.2: BIOECONOMÍA: Crecimiento verde y sostenible a través de la Innovación
Proyecto 5.2.1. Bioeconomía: Desarrollo social, inteligente y sostenible de los territorios
Actividad 5.2.1.2.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Meta (C): Trescientas (300) unidades productivas para promover la reconversión tecnológica y actividades con impacto positivo al medio ambiente de los sistemas de producción ganadera tradicionales.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Programa 5.5  Gestión del Riesgo y Cambio Climático
Proyecto 5.5.1. Conocimiento y adaptación a la Gestión del Riesgo
Actividad 5.5.1.1. Actualizar estudios técnicos para el conocimiento y reducción del riesgo e incorporación de la gestión del riesgo en el ordenamiento territorial de los municipios del departamento.
Actividad 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
Proyecto 5.5.2. Intervenciones locales orientadas a reducir la vulnerabilidad y el aumento de la resiliencia a la variabilidad y al Cambio Climático
Actividad 5.5.2.1. Implementar acciones que fortalezcan la Resiliencia, mitigación y adaptación al cambio climático del Departamento del Atlántico
Actividad 5.5.2.2. Realizar seguimiento a las obras de recuperación ambiental del Arroyo El Platanal Ubicado en el Municipio de Soledad. (Relevancia: PNGIRH) 
Actividad 5.5.2.3. Realizar seguimiento ambiental a las Obras de canalización de los arroyos del Distrito de Barranquilla.</v>
      </c>
      <c r="J24" s="654">
        <f>+'19GAU'!E13</f>
        <v>0</v>
      </c>
      <c r="K24" s="643" t="str">
        <f t="shared" si="0"/>
        <v/>
      </c>
      <c r="L24" s="423" t="str">
        <f t="shared" si="1"/>
        <v>Línea Estratégica No. 5: Cambio Climático y Gestión del Riesgo
Programa  5.1. CARBONONEUTRALIDAD: Innovación institucional para la buena Gobernanza del cambio climático en el territorio
Proyecto:5.1.1. AtlántiCO2: Camino a la Carbononeutralidad
Actividad 5.1.1.1. Promover la descarbonización en sectores priorizados por la Corporación en el Departamento del Atlántico
Meta (A): Treinta (30) empresas con medición de huella de carbono realizadas y su Plan de gestión de GEI en la jurisdicción de la C.R.A.
Meta (B) Treinta (30) empresas con seguimiento de huella de carbono realizadas y su Plan de gestión de GEI en la jurisdicción de la C.R.A.
Proyecto 5.1.2.: Gobernanza climática: Estrategias para el fomento de la buena gestión del cambio climático en el territorio
Actividad5.1.2.1. Promover la descarbonización a través de espacios de discusión técnico-científica sobre Cambio Climático que reúnan a expertos, científicos y profesionales para intercambiar conocimientos ante los desafíos, avances y soluciones en materia de cambio climático. 
Programa 5.2: BIOECONOMÍA: Crecimiento verde y sostenible a través de la Innovación
Proyecto 5.2.1. Bioeconomía: Desarrollo social, inteligente y sostenible de los territorios
Actividad 5.2.1.2.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Meta (C): Trescientas (300) unidades productivas para promover la reconversión tecnológica y actividades con impacto positivo al medio ambiente de los sistemas de producción ganadera tradicionales.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Programa 5.5  Gestión del Riesgo y Cambio Climático
Proyecto 5.5.1. Conocimiento y adaptación a la Gestión del Riesgo
Actividad 5.5.1.1. Actualizar estudios técnicos para el conocimiento y reducción del riesgo e incorporación de la gestión del riesgo en el ordenamiento territorial de los municipios del departamento.
Actividad 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
Proyecto 5.5.2. Intervenciones locales orientadas a reducir la vulnerabilidad y el aumento de la resiliencia a la variabilidad y al Cambio Climático
Actividad 5.5.2.1. Implementar acciones que fortalezcan la Resiliencia, mitigación y adaptación al cambio climático del Departamento del Atlántico
Actividad 5.5.2.2. Realizar seguimiento a las obras de recuperación ambiental del Arroyo El Platanal Ubicado en el Municipio de Soledad. (Relevancia: PNGIRH) 
Actividad 5.5.2.3. Realizar seguimiento ambiental a las Obras de canalización de los arroyos del Distrito de Barranquilla.</v>
      </c>
      <c r="M24" s="424" t="str">
        <f t="shared" si="2"/>
        <v/>
      </c>
      <c r="N24" s="425" t="s">
        <v>618</v>
      </c>
      <c r="O24" s="643" t="str">
        <f t="shared" si="3"/>
        <v>Línea Estratégica No. 5: Cambio Climático y Gestión del Riesgo
Programa  5.1. CARBONONEUTRALIDAD: Innovación institucional para la buena Gobernanza del cambio climático en el territorio
Proyecto:5.1.1. AtlántiCO2: Camino a la Carbononeutralidad
Actividad 5.1.1.1. Promover la descarbonización en sectores priorizados por la Corporación en el Departamento del Atlántico
Meta (A): Treinta (30) empresas con medición de huella de carbono realizadas y su Plan de gestión de GEI en la jurisdicción de la C.R.A.
Meta (B) Treinta (30) empresas con seguimiento de huella de carbono realizadas y su Plan de gestión de GEI en la jurisdicción de la C.R.A.
Proyecto 5.1.2.: Gobernanza climática: Estrategias para el fomento de la buena gestión del cambio climático en el territorio
Actividad5.1.2.1. Promover la descarbonización a través de espacios de discusión técnico-científica sobre Cambio Climático que reúnan a expertos, científicos y profesionales para intercambiar conocimientos ante los desafíos, avances y soluciones en materia de cambio climático. 
Programa 5.2: BIOECONOMÍA: Crecimiento verde y sostenible a través de la Innovación
Proyecto 5.2.1. Bioeconomía: Desarrollo social, inteligente y sostenible de los territorios
Actividad 5.2.1.2.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Meta (C): Trescientas (300) unidades productivas para promover la reconversión tecnológica y actividades con impacto positivo al medio ambiente de los sistemas de producción ganadera tradicionales.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Programa 5.5  Gestión del Riesgo y Cambio Climático
Proyecto 5.5.1. Conocimiento y adaptación a la Gestión del Riesgo
Actividad 5.5.1.1. Actualizar estudios técnicos para el conocimiento y reducción del riesgo e incorporación de la gestión del riesgo en el ordenamiento territorial de los municipios del departamento.
Actividad 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
Proyecto 5.5.2. Intervenciones locales orientadas a reducir la vulnerabilidad y el aumento de la resiliencia a la variabilidad y al Cambio Climático
Actividad 5.5.2.1. Implementar acciones que fortalezcan la Resiliencia, mitigación y adaptación al cambio climático del Departamento del Atlántico
Actividad 5.5.2.2. Realizar seguimiento a las obras de recuperación ambiental del Arroyo El Platanal Ubicado en el Municipio de Soledad. (Relevancia: PNGIRH) 
Actividad 5.5.2.3. Realizar seguimiento ambiental a las Obras de canalización de los arroyos del Distrito de Barranquilla.</v>
      </c>
      <c r="P24" s="423"/>
      <c r="Q24" s="424" t="str">
        <f t="shared" si="5"/>
        <v xml:space="preserve"> </v>
      </c>
      <c r="R24" s="425" t="s">
        <v>618</v>
      </c>
      <c r="S24" s="644"/>
    </row>
    <row r="25" spans="1:19" ht="204">
      <c r="A25" s="420" t="s">
        <v>727</v>
      </c>
      <c r="B25" s="421" t="s">
        <v>29</v>
      </c>
      <c r="C25" s="426">
        <f>+'20Negoc'!D8</f>
        <v>1</v>
      </c>
      <c r="D25" s="426"/>
      <c r="E25" s="426"/>
      <c r="F25" s="426"/>
      <c r="H25" s="653" t="str">
        <f>+'20Negoc'!F10</f>
        <v/>
      </c>
      <c r="I25" s="422" t="str">
        <f>+'20Negoc'!E12</f>
        <v>Línea Estratégica No. 2: Gestión para la Conservación Sostenible de los Recursos Naturales
Programa 2.2:  Estrategias de Conservación 
Proyecto 2.2.2. Negocios Verdes
Actividad 2.2.2.1. Implementar el Plan Nacional de Negocios Verdes 
Meta (A) : Cuarenta y nueve (49) nuevos Negocios Verdes Verificados (Emprendimiento, Empresas Avaladas/No Avaladas, Empresas Ancla) según meta establecida por el MADS
Meta (B):  Setenta y ún (71) Negocios Verdes existentes y verificados con seguimiento (Emprendimiento, Empresas Avaladas/No Avaladas, Empresas Ancla), durante el cuatrienio
Meta (C):  Cuatro (4) acciones estratégicas que permitan desarrollar procesos para el fomento y fortalecimiento de los Negocios Verdes verificados ejecutadas</v>
      </c>
      <c r="J25" s="654">
        <f>+'20Negoc'!E13</f>
        <v>0</v>
      </c>
      <c r="K25" s="643" t="str">
        <f t="shared" si="0"/>
        <v/>
      </c>
      <c r="L25" s="423" t="str">
        <f t="shared" si="1"/>
        <v>Línea Estratégica No. 2: Gestión para la Conservación Sostenible de los Recursos Naturales
Programa 2.2:  Estrategias de Conservación 
Proyecto 2.2.2. Negocios Verdes
Actividad 2.2.2.1. Implementar el Plan Nacional de Negocios Verdes 
Meta (A) : Cuarenta y nueve (49) nuevos Negocios Verdes Verificados (Emprendimiento, Empresas Avaladas/No Avaladas, Empresas Ancla) según meta establecida por el MADS
Meta (B):  Setenta y ún (71) Negocios Verdes existentes y verificados con seguimiento (Emprendimiento, Empresas Avaladas/No Avaladas, Empresas Ancla), durante el cuatrienio
Meta (C):  Cuatro (4) acciones estratégicas que permitan desarrollar procesos para el fomento y fortalecimiento de los Negocios Verdes verificados ejecutadas</v>
      </c>
      <c r="M25" s="424" t="str">
        <f t="shared" si="2"/>
        <v/>
      </c>
      <c r="N25" s="425" t="s">
        <v>618</v>
      </c>
      <c r="O25" s="643" t="str">
        <f t="shared" si="3"/>
        <v>Línea Estratégica No. 2: Gestión para la Conservación Sostenible de los Recursos Naturales
Programa 2.2:  Estrategias de Conservación 
Proyecto 2.2.2. Negocios Verdes
Actividad 2.2.2.1. Implementar el Plan Nacional de Negocios Verdes 
Meta (A) : Cuarenta y nueve (49) nuevos Negocios Verdes Verificados (Emprendimiento, Empresas Avaladas/No Avaladas, Empresas Ancla) según meta establecida por el MADS
Meta (B):  Setenta y ún (71) Negocios Verdes existentes y verificados con seguimiento (Emprendimiento, Empresas Avaladas/No Avaladas, Empresas Ancla), durante el cuatrienio
Meta (C):  Cuatro (4) acciones estratégicas que permitan desarrollar procesos para el fomento y fortalecimiento de los Negocios Verdes verificados ejecutadas</v>
      </c>
      <c r="P25" s="423"/>
      <c r="Q25" s="424" t="str">
        <f t="shared" si="5"/>
        <v xml:space="preserve"> </v>
      </c>
      <c r="R25" s="425" t="s">
        <v>618</v>
      </c>
      <c r="S25" s="644"/>
    </row>
    <row r="26" spans="1:19" ht="288">
      <c r="A26" s="420" t="s">
        <v>728</v>
      </c>
      <c r="B26" s="421" t="s">
        <v>30</v>
      </c>
      <c r="C26" s="426">
        <f>+'21TiempoT'!D8</f>
        <v>0.87886520719561434</v>
      </c>
      <c r="D26" s="426"/>
      <c r="E26" s="426"/>
      <c r="F26" s="426"/>
      <c r="H26" s="653" t="str">
        <f>+'21TiempoT'!F10</f>
        <v/>
      </c>
      <c r="I26" s="422" t="str">
        <f>+'21TiempoT'!E12</f>
        <v xml:space="preserve">Línea Estratégica No 4. Sostenibilidad sectorial
Programa 4.3. VELA: Vigilar y evaluar la legalidad ambiental 
Proyecto 4.3.1.Evaluación, Seguimiento y Control. 
Actividad 4.3.1.1. Realizar la evaluación de los instrumentos de control ambiental
Meta (A): Cien por ciento (100%) de los trámites ambientales para Licencia Ambiental dentro de los tiempos establecidos por Ley
Meta (B): Cien por ciento (100%) de los trámites ambientales para Concesiones de Agua dentro de los tiempos establecidos por Ley
Meta (C): Cien por ciento (100%) de los trámites ambientales para vertimiento dentro de los tiempos establecidos por Ley
Meta (D): Cien por ciento (100%) de los trámites ambientales para Aprovechamiento Forestal dentro de los tiempos establecidos por Ley
Meta (E): Cien por ciento (100%) de los trámites ambientales para Emisiones Atmosféricas dentro de los tiempos establecidos por Ley
</v>
      </c>
      <c r="J26" s="654" t="str">
        <f>+'21TiempoT'!E13</f>
        <v xml:space="preserve">La información contenida en la base de datos corresponde al total de dias hábiles del trámite sin descontar los tiempos correspondientes al usuario. Para efectos de la variable se ha descontando estos tiempos, por lo tanto, puede no haber coincidencia completa entre la base de datos y la información consignada en las variables que integran este indicador.
</v>
      </c>
      <c r="K26" s="643" t="str">
        <f t="shared" si="0"/>
        <v/>
      </c>
      <c r="L26" s="423" t="str">
        <f t="shared" si="1"/>
        <v xml:space="preserve">Línea Estratégica No 4. Sostenibilidad sectorial
Programa 4.3. VELA: Vigilar y evaluar la legalidad ambiental 
Proyecto 4.3.1.Evaluación, Seguimiento y Control. 
Actividad 4.3.1.1. Realizar la evaluación de los instrumentos de control ambiental
Meta (A): Cien por ciento (100%) de los trámites ambientales para Licencia Ambiental dentro de los tiempos establecidos por Ley
Meta (B): Cien por ciento (100%) de los trámites ambientales para Concesiones de Agua dentro de los tiempos establecidos por Ley
Meta (C): Cien por ciento (100%) de los trámites ambientales para vertimiento dentro de los tiempos establecidos por Ley
Meta (D): Cien por ciento (100%) de los trámites ambientales para Aprovechamiento Forestal dentro de los tiempos establecidos por Ley
Meta (E): Cien por ciento (100%) de los trámites ambientales para Emisiones Atmosféricas dentro de los tiempos establecidos por Ley
</v>
      </c>
      <c r="M26" s="424" t="str">
        <f t="shared" si="2"/>
        <v xml:space="preserve">La información contenida en la base de datos corresponde al total de dias hábiles del trámite sin descontar los tiempos correspondientes al usuario. Para efectos de la variable se ha descontando estos tiempos, por lo tanto, puede no haber coincidencia completa entre la base de datos y la información consignada en las variables que integran este indicador.
</v>
      </c>
      <c r="N26" s="425" t="s">
        <v>618</v>
      </c>
      <c r="O26" s="643" t="str">
        <f t="shared" si="3"/>
        <v xml:space="preserve">Línea Estratégica No 4. Sostenibilidad sectorial
Programa 4.3. VELA: Vigilar y evaluar la legalidad ambiental 
Proyecto 4.3.1.Evaluación, Seguimiento y Control. 
Actividad 4.3.1.1. Realizar la evaluación de los instrumentos de control ambiental
Meta (A): Cien por ciento (100%) de los trámites ambientales para Licencia Ambiental dentro de los tiempos establecidos por Ley
Meta (B): Cien por ciento (100%) de los trámites ambientales para Concesiones de Agua dentro de los tiempos establecidos por Ley
Meta (C): Cien por ciento (100%) de los trámites ambientales para vertimiento dentro de los tiempos establecidos por Ley
Meta (D): Cien por ciento (100%) de los trámites ambientales para Aprovechamiento Forestal dentro de los tiempos establecidos por Ley
Meta (E): Cien por ciento (100%) de los trámites ambientales para Emisiones Atmosféricas dentro de los tiempos establecidos por Ley
</v>
      </c>
      <c r="P26" s="423"/>
      <c r="Q26" s="424" t="str">
        <f t="shared" si="5"/>
        <v xml:space="preserve"> </v>
      </c>
      <c r="R26" s="425" t="s">
        <v>618</v>
      </c>
      <c r="S26" s="644"/>
    </row>
    <row r="27" spans="1:19" ht="204">
      <c r="A27" s="420" t="s">
        <v>729</v>
      </c>
      <c r="B27" s="421" t="s">
        <v>31</v>
      </c>
      <c r="C27" s="426">
        <f>+'22Autor'!D8</f>
        <v>0.80166146852563269</v>
      </c>
      <c r="D27" s="426"/>
      <c r="E27" s="426"/>
      <c r="F27" s="658"/>
      <c r="H27" s="653" t="str">
        <f>+'22Autor'!F10</f>
        <v/>
      </c>
      <c r="I27" s="422" t="str">
        <f>+'22Autor'!E12</f>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J27" s="654">
        <f>+'22Autor'!E13</f>
        <v>0</v>
      </c>
      <c r="K27" s="643" t="str">
        <f t="shared" si="0"/>
        <v/>
      </c>
      <c r="L27" s="423" t="str">
        <f t="shared" si="1"/>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M27" s="424" t="str">
        <f t="shared" si="2"/>
        <v/>
      </c>
      <c r="N27" s="425" t="s">
        <v>618</v>
      </c>
      <c r="O27" s="643" t="str">
        <f t="shared" si="3"/>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P27" s="423"/>
      <c r="Q27" s="424" t="str">
        <f t="shared" si="5"/>
        <v xml:space="preserve"> </v>
      </c>
      <c r="R27" s="425" t="s">
        <v>618</v>
      </c>
      <c r="S27" s="644"/>
    </row>
    <row r="28" spans="1:19" ht="204">
      <c r="A28" s="420" t="s">
        <v>730</v>
      </c>
      <c r="B28" s="421" t="s">
        <v>32</v>
      </c>
      <c r="C28" s="426">
        <f>+'23Sanc'!D8</f>
        <v>0.2391304347826087</v>
      </c>
      <c r="D28" s="426"/>
      <c r="E28" s="426"/>
      <c r="F28" s="426"/>
      <c r="H28" s="653" t="str">
        <f>+'22Autor'!F10</f>
        <v/>
      </c>
      <c r="I28" s="422" t="str">
        <f>+'22Autor'!E12</f>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J28" s="654">
        <f>+'22Autor'!E13</f>
        <v>0</v>
      </c>
      <c r="K28" s="643" t="str">
        <f t="shared" si="0"/>
        <v/>
      </c>
      <c r="L28" s="423" t="str">
        <f t="shared" si="1"/>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M28" s="424" t="str">
        <f t="shared" si="2"/>
        <v/>
      </c>
      <c r="N28" s="425" t="s">
        <v>618</v>
      </c>
      <c r="O28" s="643" t="str">
        <f t="shared" si="3"/>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P28" s="423"/>
      <c r="Q28" s="424" t="str">
        <f t="shared" si="5"/>
        <v xml:space="preserve"> </v>
      </c>
      <c r="R28" s="425" t="s">
        <v>618</v>
      </c>
      <c r="S28" s="644"/>
    </row>
    <row r="29" spans="1:19" ht="168">
      <c r="A29" s="420" t="s">
        <v>731</v>
      </c>
      <c r="B29" s="421" t="s">
        <v>33</v>
      </c>
      <c r="C29" s="426">
        <f>+'24POT'!D7</f>
        <v>1</v>
      </c>
      <c r="D29" s="426"/>
      <c r="E29" s="426"/>
      <c r="F29" s="426"/>
      <c r="H29" s="653" t="str">
        <f>+'24POT'!F9</f>
        <v/>
      </c>
      <c r="I29" s="422" t="str">
        <f>'24POT'!E11</f>
        <v>Línea Estratégica No 4. Sostenibilidad sectorial 
Programa 4.1. SOS-Terra: Ordenando Ambientalmente el Territorio 
Proyecto 4.1.2. Instrumentos de Planificación 
Actividad 4.1.2.1. Municipios asistidos en la inclusión del componente ambiental en los procesos de planificación y ordenamiento territorial, con énfasis en la incorporación de las determinantes ambientales para la revisión y ajuste de los POT
Meta: Veintitres (23) municipios asistidos en la inclusión del componente ambiental en los procesos de planificación y ordenamiento territorial, con énfasis en la incorporación de las determinantes ambientales para la revisión y ajuste de los POT</v>
      </c>
      <c r="J29" s="654">
        <f>'24POT'!E12</f>
        <v>0</v>
      </c>
      <c r="K29" s="643" t="str">
        <f t="shared" si="0"/>
        <v/>
      </c>
      <c r="L29" s="423" t="str">
        <f t="shared" si="1"/>
        <v>Línea Estratégica No 4. Sostenibilidad sectorial 
Programa 4.1. SOS-Terra: Ordenando Ambientalmente el Territorio 
Proyecto 4.1.2. Instrumentos de Planificación 
Actividad 4.1.2.1. Municipios asistidos en la inclusión del componente ambiental en los procesos de planificación y ordenamiento territorial, con énfasis en la incorporación de las determinantes ambientales para la revisión y ajuste de los POT
Meta: Veintitres (23) municipios asistidos en la inclusión del componente ambiental en los procesos de planificación y ordenamiento territorial, con énfasis en la incorporación de las determinantes ambientales para la revisión y ajuste de los POT</v>
      </c>
      <c r="M29" s="424" t="str">
        <f t="shared" si="2"/>
        <v/>
      </c>
      <c r="N29" s="425" t="s">
        <v>618</v>
      </c>
      <c r="O29" s="643" t="str">
        <f t="shared" si="3"/>
        <v>Línea Estratégica No 4. Sostenibilidad sectorial 
Programa 4.1. SOS-Terra: Ordenando Ambientalmente el Territorio 
Proyecto 4.1.2. Instrumentos de Planificación 
Actividad 4.1.2.1. Municipios asistidos en la inclusión del componente ambiental en los procesos de planificación y ordenamiento territorial, con énfasis en la incorporación de las determinantes ambientales para la revisión y ajuste de los POT
Meta: Veintitres (23) municipios asistidos en la inclusión del componente ambiental en los procesos de planificación y ordenamiento territorial, con énfasis en la incorporación de las determinantes ambientales para la revisión y ajuste de los POT</v>
      </c>
      <c r="P29" s="423"/>
      <c r="Q29" s="424" t="str">
        <f t="shared" si="5"/>
        <v xml:space="preserve"> </v>
      </c>
      <c r="R29" s="425" t="s">
        <v>618</v>
      </c>
      <c r="S29" s="644"/>
    </row>
    <row r="30" spans="1:19" ht="192" customHeight="1">
      <c r="A30" s="420" t="s">
        <v>732</v>
      </c>
      <c r="B30" s="421" t="s">
        <v>34</v>
      </c>
      <c r="C30" s="426">
        <f>+'25Redes'!D8</f>
        <v>0</v>
      </c>
      <c r="D30" s="426"/>
      <c r="E30" s="426"/>
      <c r="F30" s="816"/>
      <c r="H30" s="653">
        <f>+'25Redes'!F10</f>
        <v>0</v>
      </c>
      <c r="I30" s="422" t="str">
        <f>+'25Redes'!E12</f>
        <v>Línea Estratégica No 4. Sostenibilidad sectorial 
Programa 4.2. CONMONITOR: control y monitoreo de los Recursos Naturales y el Ambiente 
Proyecto 4.2.2. Aire 
Actividad 4.2.2.1. Monitorear y reportar la calidad del aire en el departamento del Atlántico de acuerdo a la norma vigente.</v>
      </c>
      <c r="J30" s="654" t="str">
        <f>+'25Redes'!E13</f>
        <v>Línea Estratégica No 4. Sostenibilidad Sectorial y Territorial
Programa 4.2 CONMONITOR: control y monitoreo de los Recursos Naturales y el Ambiente
Proyecto 4.2.2. AIRE
Actividad 4.2.2.1. Monitorear y reportar la calidad del aire en el departamento del Atlántico de acuerdo a la norma vigente. 
META (A):  Seis (6) estaciones de la Red de Monitoreo de Calidad de Aire del Departamento del Atlántico instaladas y en operación, con un sistema de monitoreo ambiental continuo, con transmisión de datos vía digital o con comunicaciones digitales.
META (B): Cuarenta (40) operativos para la identificación de nuevas fuentes de emisiones atmosféricas por fuentes fijas en el Departamento del Atlántico.
NOTA: De acuerdo con lo programado en el PAI la meta se ejecutará a partir de la vigencia 2025</v>
      </c>
      <c r="K30" s="643">
        <f t="shared" si="0"/>
        <v>0</v>
      </c>
      <c r="L30" s="423" t="str">
        <f t="shared" si="1"/>
        <v>Línea Estratégica No 4. Sostenibilidad sectorial 
Programa 4.2. CONMONITOR: control y monitoreo de los Recursos Naturales y el Ambiente 
Proyecto 4.2.2. Aire 
Actividad 4.2.2.1. Monitorear y reportar la calidad del aire en el departamento del Atlántico de acuerdo a la norma vigente.</v>
      </c>
      <c r="M30" s="424" t="str">
        <f t="shared" si="2"/>
        <v>Línea Estratégica No 4. Sostenibilidad Sectorial y Territorial
Programa 4.2 CONMONITOR: control y monitoreo de los Recursos Naturales y el Ambiente
Proyecto 4.2.2. AIRE
Actividad 4.2.2.1. Monitorear y reportar la calidad del aire en el departamento del Atlántico de acuerdo a la norma vigente. 
META (A):  Seis (6) estaciones de la Red de Monitoreo de Calidad de Aire del Departamento del Atlántico instaladas y en operación, con un sistema de monitoreo ambiental continuo, con transmisión de datos vía digital o con comunicaciones digitales.
META (B): Cuarenta (40) operativos para la identificación de nuevas fuentes de emisiones atmosféricas por fuentes fijas en el Departamento del Atlántico.
NOTA: De acuerdo con lo programado en el PAI la meta se ejecutará a partir de la vigencia 2025</v>
      </c>
      <c r="N30" s="425" t="s">
        <v>618</v>
      </c>
      <c r="O30" s="643" t="str">
        <f t="shared" si="3"/>
        <v>Línea Estratégica No 4. Sostenibilidad sectorial 
Programa 4.2. CONMONITOR: control y monitoreo de los Recursos Naturales y el Ambiente 
Proyecto 4.2.2. Aire 
Actividad 4.2.2.1. Monitorear y reportar la calidad del aire en el departamento del Atlántico de acuerdo a la norma vigente.</v>
      </c>
      <c r="P30" s="423"/>
      <c r="Q30" s="424" t="str">
        <f t="shared" si="5"/>
        <v xml:space="preserve"> </v>
      </c>
      <c r="R30" s="425" t="s">
        <v>618</v>
      </c>
      <c r="S30" s="644"/>
    </row>
    <row r="31" spans="1:19" ht="276">
      <c r="A31" s="420" t="s">
        <v>733</v>
      </c>
      <c r="B31" s="421" t="s">
        <v>35</v>
      </c>
      <c r="C31" s="426">
        <f>+'26SIAC'!D8</f>
        <v>1</v>
      </c>
      <c r="D31" s="426"/>
      <c r="E31" s="426"/>
      <c r="F31" s="426"/>
      <c r="H31" s="653" t="str">
        <f>+'26SIAC'!F10</f>
        <v/>
      </c>
      <c r="I31" s="422" t="str">
        <f>+'26SIAC'!E12</f>
        <v xml:space="preserve">
Línea Estratégica No 6. Sostenibilidad Institucional 
Programa 6.2: Tecnologías de la información para el fortalecimiento y desarrollo de la transformación digital de la entidad 
Proyecto 6.2.4 Sistemas de Información. 
Actividad 6.2.4.2 Realizar el reporte, validación o actualización en los Subsistemas del Sistema Ambiental Colombiano - SIAC
Meta: Cuatro (4) reportes validados o actualizados en los subsistemas del Sistema Información Ambiental Colombiano - SIAC.</v>
      </c>
      <c r="J31" s="654" t="str">
        <f>+'26SIAC'!E13</f>
        <v>* SISAIRE: El SVCA consta de siete estaciones, actualmente se encuentran instaladas y en funcionamiento dos (2) estaciones, ubicadas en los Municipios de Soledad (EDUMAS) y Malambo (SECRETARIA DE TRANSITO MALAMBO), operando bajo los estándares técnicos establecidos por la normatividad ambiental colombiana, con especial énfasis en el monitoreo de material particulado PM10, considerado uno de los contaminantes de mayor relevancia para la salud pública en la región. Se espera que las otras cinco (5) estaciones queden instaladas y en funcionamiento en la vigencia 2026.</v>
      </c>
      <c r="K31" s="643" t="str">
        <f t="shared" si="0"/>
        <v/>
      </c>
      <c r="L31" s="423" t="str">
        <f t="shared" si="1"/>
        <v xml:space="preserve">
Línea Estratégica No 6. Sostenibilidad Institucional 
Programa 6.2: Tecnologías de la información para el fortalecimiento y desarrollo de la transformación digital de la entidad 
Proyecto 6.2.4 Sistemas de Información. 
Actividad 6.2.4.2 Realizar el reporte, validación o actualización en los Subsistemas del Sistema Ambiental Colombiano - SIAC
Meta: Cuatro (4) reportes validados o actualizados en los subsistemas del Sistema Información Ambiental Colombiano - SIAC.</v>
      </c>
      <c r="M31" s="424" t="str">
        <f t="shared" si="2"/>
        <v>* SISAIRE: El SVCA consta de siete estaciones, actualmente se encuentran instaladas y en funcionamiento dos (2) estaciones, ubicadas en los Municipios de Soledad (EDUMAS) y Malambo (SECRETARIA DE TRANSITO MALAMBO), operando bajo los estándares técnicos establecidos por la normatividad ambiental colombiana, con especial énfasis en el monitoreo de material particulado PM10, considerado uno de los contaminantes de mayor relevancia para la salud pública en la región. Se espera que las otras cinco (5) estaciones queden instaladas y en funcionamiento en la vigencia 2026.</v>
      </c>
      <c r="N31" s="425" t="s">
        <v>618</v>
      </c>
      <c r="O31" s="643" t="str">
        <f t="shared" si="3"/>
        <v xml:space="preserve">
Línea Estratégica No 6. Sostenibilidad Institucional 
Programa 6.2: Tecnologías de la información para el fortalecimiento y desarrollo de la transformación digital de la entidad 
Proyecto 6.2.4 Sistemas de Información. 
Actividad 6.2.4.2 Realizar el reporte, validación o actualización en los Subsistemas del Sistema Ambiental Colombiano - SIAC
Meta: Cuatro (4) reportes validados o actualizados en los subsistemas del Sistema Información Ambiental Colombiano - SIAC.</v>
      </c>
      <c r="P31" s="423"/>
      <c r="Q31" s="424" t="str">
        <f t="shared" si="5"/>
        <v xml:space="preserve"> </v>
      </c>
      <c r="R31" s="425" t="s">
        <v>618</v>
      </c>
      <c r="S31" s="644"/>
    </row>
    <row r="32" spans="1:19" ht="409.6" thickBot="1">
      <c r="A32" s="420" t="s">
        <v>734</v>
      </c>
      <c r="B32" s="421" t="s">
        <v>36</v>
      </c>
      <c r="C32" s="426">
        <f>+'27Educa'!D8</f>
        <v>0.99794473602415501</v>
      </c>
      <c r="D32" s="426"/>
      <c r="E32" s="426"/>
      <c r="F32" s="426"/>
      <c r="H32" s="655" t="str">
        <f>+'27Educa'!F10</f>
        <v/>
      </c>
      <c r="I32" s="656" t="str">
        <f>+'27Educa'!E12</f>
        <v>Línea Estratégica No 3. Participación Equitativa y Diversa para la Inclusión Social y Justicia Ambiental 
Programa 3.1  E2 EcoEduca: Transformación sociocultural por la Sostenibilidad
Proyecto 3.1.1 Fortalecimiento de los Comites Interinstitucionales de Educación Ambiental - CIDEA
Actividad 3.1.1.1 Brindar anualmente asistencia técnica a los CIDEA municipales para apoyar la elaboración y/o ajuste o implementación del Plan Municipal de Educación Ambiental PEAM.
Actividad 3.1.1.2  Apoyar iniciativas del Comité Técnico Interinstitucional de Educación Ambiental Departamental -CIDEA.
Proyecto 3.1.2 Inclusión de lo ambiental en la educación formal
Actividad 3.1.2.1 Brindar asistencia técnica a las instituciones educativas públicas para apoyar la elaboración, ajuste o implementación de los Proyectos Ambientales Escolares (PRAE).
Actividad 3.1.2.2 Brindar asistencia técnica a los semilleros de investigación o grupos ecológicos en  sus  iniciativas ambientales.
Actividad 3.1.2.3 Realizar acciones con Instituciones de Educación Superior para apoyar la realización  de  iniciativas que promuevan lo ambiental.
Proyecto 3.1.3 Inclusión del tema ambiental en la educación no formal
Actividad 3.1.3.1 Brindar asistencia técnica para apoyar la elaboración, ajuste o implementación de los Proyectos Ciudadanos de Educación Ambiental – PROCEDA o iniciativas ambientales comunitarias.
Actividad 3.1.3.2 Impulsar procesos para la cualificación en materia de Educación Ambiental en los multiplicadores, dinamizadores y ONG ambientales del departamento
Actividad 3.1.3.3 Implementar un programa de formación  de Guardianes del Medio Ambiente GUMA para apoyar acciones prácticas de la gestión ambiental de la Corporación C.R.A en los municipios del departamento del Atlantico
Actividad 3.1.3.4 Desarrollar un programa de capacitación para formar a jóvenes como Gestores Ambientales Urbanos (GAU) en el Departamento
Actividad 3.1.3.5 Implementar el Plan de Actuación Estratégico Territorial Ambiental del Departamento del Atlántico
Actividad 3.1.3.6 Implementar estrategias de conciencia ambiental en niños para fomentar la protección del ambiente.
Proyecto 3.1.4  Articulación de la educación ambiental con el sistema de gestión del riesgo y cambio climático
Actividad 3.1.4.1 Implementar acciones desde la Educación Ambiental para la consolidación de una cultura en el marco de la  gestión del riesgo y del cambio climático.
Proyecto 3.1.5 Fortalecimiento de estrategias de participación ciudadana que apunten al cumplimiento del Acuerdo de Escazú.
Actividad 3.1.5.1 Implementación de estrategias de participación ciudadana que apunten al cumplimiento del Acuerdo de Escazú
Proyecto 3.1.6  Conocimiento y sensibilización para la consolidación de la cultura ambiental.
Actividad 3.1.6.1 Transferencia de conocimiento o campañas ambientales con intencionalidad pedagógica
Proyecto 3.1.7 Inclusión de la perspectiva de género para un desarrollo sostenible centrado en la equidad en el departamento del Atlántico.
Actividad 3.1.7.1 Apoyar iniciativas con perspectiva de género que promuevan la sustentabilidad del territorio en el departamento del Atlántico
Proyecto 3.1.8 Escenarios de divulgación de intercambio de conocimiento de educación ambiental a nivel departamental regional, nacional o internacional
Actividad 3.1.8.1. Promover o participar en escenarios de divulgación de la educación ambiental a nivel departamental, regional, nacional o internacional
Actividad 3.1.8.2. Apoyar eventos o ferias ambientales dirigidas a las organizaciones ambientales del Departamento.
Programa 3.2 Sembrando Saber: cultivando el conocimiento ambiental del Atlántico
Proyecto 3.2.1 Reconocimiento de los saberes y conocimientos tradicionales de las etnias del departamento y su incorporación para la sustentabilidad ambiental
Actividad 3.2.1.1 Apoyar iniciativas para fortalecer los conocimientos, usos, costumbres, saberes y prácticas tradicionales ambientales de las comunidades negras del Departamento del Atlántico
Actividad 3.2.1.2 Apoyar iniciativas para fortalecer los conocimientos, usos, costumbres, saberes y prácticas tradicionales ambientales de las comunidades indígenas y otras étnias tradicionalmente asentadas en el Departamento del Atlántico
Actividad 3.2.1.3 Apoyar iniciativas para fortalecer los conocimientos, usos, costumbres, saberes y prácticas tradicionales ambientales de las comunidades Rrom asentadas en el Departamento del Atlántico
Programa 3.3. NATURALIANZA: Alianzas por el Desarrollo Sostenible y la protección Ambiental
Proyecto 3.3.1 Realizar seguimiento y monitoreo a escala comunitaria de los Objetivos de Desarrollo Sostenible - ODS en el Departamento del Atlántico
Actividad 3.3.1.1 Elaborar Cuatro (4)  Documentos Técnicos con el informe de seguimiento a los ODS de los municipios del Departamento</v>
      </c>
      <c r="J32" s="657">
        <f>+'27Educa'!E13</f>
        <v>0</v>
      </c>
      <c r="K32" s="645" t="str">
        <f t="shared" si="0"/>
        <v/>
      </c>
      <c r="L32" s="646" t="str">
        <f t="shared" si="1"/>
        <v>Línea Estratégica No 3. Participación Equitativa y Diversa para la Inclusión Social y Justicia Ambiental 
Programa 3.1  E2 EcoEduca: Transformación sociocultural por la Sostenibilidad
Proyecto 3.1.1 Fortalecimiento de los Comites Interinstitucionales de Educación Ambiental - CIDEA
Actividad 3.1.1.1 Brindar anualmente asistencia técnica a los CIDEA municipales para apoyar la elaboración y/o ajuste o implementación del Plan Municipal de Educación Ambiental PEAM.
Actividad 3.1.1.2  Apoyar iniciativas del Comité Técnico Interinstitucional de Educación Ambiental Departamental -CIDEA.
Proyecto 3.1.2 Inclusión de lo ambiental en la educación formal
Actividad 3.1.2.1 Brindar asistencia técnica a las instituciones educativas públicas para apoyar la elaboración, ajuste o implementación de los Proyectos Ambientales Escolares (PRAE).
Actividad 3.1.2.2 Brindar asistencia técnica a los semilleros de investigación o grupos ecológicos en  sus  iniciativas ambientales.
Actividad 3.1.2.3 Realizar acciones con Instituciones de Educación Superior para apoyar la realización  de  iniciativas que promuevan lo ambiental.
Proyecto 3.1.3 Inclusión del tema ambiental en la educación no formal
Actividad 3.1.3.1 Brindar asistencia técnica para apoyar la elaboración, ajuste o implementación de los Proyectos Ciudadanos de Educación Ambiental – PROCEDA o iniciativas ambientales comunitarias.
Actividad 3.1.3.2 Impulsar procesos para la cualificación en materia de Educación Ambiental en los multiplicadores, dinamizadores y ONG ambientales del departamento
Actividad 3.1.3.3 Implementar un programa de formación  de Guardianes del Medio Ambiente GUMA para apoyar acciones prácticas de la gestión ambiental de la Corporación C.R.A en los municipios del departamento del Atlantico
Actividad 3.1.3.4 Desarrollar un programa de capacitación para formar a jóvenes como Gestores Ambientales Urbanos (GAU) en el Departamento
Actividad 3.1.3.5 Implementar el Plan de Actuación Estratégico Territorial Ambiental del Departamento del Atlántico
Actividad 3.1.3.6 Implementar estrategias de conciencia ambiental en niños para fomentar la protección del ambiente.
Proyecto 3.1.4  Articulación de la educación ambiental con el sistema de gestión del riesgo y cambio climático
Actividad 3.1.4.1 Implementar acciones desde la Educación Ambiental para la consolidación de una cultura en el marco de la  gestión del riesgo y del cambio climático.
Proyecto 3.1.5 Fortalecimiento de estrategias de participación ciudadana que apunten al cumplimiento del Acuerdo de Escazú.
Actividad 3.1.5.1 Implementación de estrategias de participación ciudadana que apunten al cumplimiento del Acuerdo de Escazú
Proyecto 3.1.6  Conocimiento y sensibilización para la consolidación de la cultura ambiental.
Actividad 3.1.6.1 Transferencia de conocimiento o campañas ambientales con intencionalidad pedagógica
Proyecto 3.1.7 Inclusión de la perspectiva de género para un desarrollo sostenible centrado en la equidad en el departamento del Atlántico.
Actividad 3.1.7.1 Apoyar iniciativas con perspectiva de género que promuevan la sustentabilidad del territorio en el departamento del Atlántico
Proyecto 3.1.8 Escenarios de divulgación de intercambio de conocimiento de educación ambiental a nivel departamental regional, nacional o internacional
Actividad 3.1.8.1. Promover o participar en escenarios de divulgación de la educación ambiental a nivel departamental, regional, nacional o internacional
Actividad 3.1.8.2. Apoyar eventos o ferias ambientales dirigidas a las organizaciones ambientales del Departamento.
Programa 3.2 Sembrando Saber: cultivando el conocimiento ambiental del Atlántico
Proyecto 3.2.1 Reconocimiento de los saberes y conocimientos tradicionales de las etnias del departamento y su incorporación para la sustentabilidad ambiental
Actividad 3.2.1.1 Apoyar iniciativas para fortalecer los conocimientos, usos, costumbres, saberes y prácticas tradicionales ambientales de las comunidades negras del Departamento del Atlántico
Actividad 3.2.1.2 Apoyar iniciativas para fortalecer los conocimientos, usos, costumbres, saberes y prácticas tradicionales ambientales de las comunidades indígenas y otras étnias tradicionalmente asentadas en el Departamento del Atlántico
Actividad 3.2.1.3 Apoyar iniciativas para fortalecer los conocimientos, usos, costumbres, saberes y prácticas tradicionales ambientales de las comunidades Rrom asentadas en el Departamento del Atlántico
Programa 3.3. NATURALIANZA: Alianzas por el Desarrollo Sostenible y la protección Ambiental
Proyecto 3.3.1 Realizar seguimiento y monitoreo a escala comunitaria de los Objetivos de Desarrollo Sostenible - ODS en el Departamento del Atlántico
Actividad 3.3.1.1 Elaborar Cuatro (4)  Documentos Técnicos con el informe de seguimiento a los ODS de los municipios del Departamento</v>
      </c>
      <c r="M32" s="647" t="str">
        <f t="shared" si="2"/>
        <v/>
      </c>
      <c r="N32" s="648" t="s">
        <v>618</v>
      </c>
      <c r="O32" s="645" t="str">
        <f t="shared" si="3"/>
        <v>Línea Estratégica No 3. Participación Equitativa y Diversa para la Inclusión Social y Justicia Ambiental 
Programa 3.1  E2 EcoEduca: Transformación sociocultural por la Sostenibilidad
Proyecto 3.1.1 Fortalecimiento de los Comites Interinstitucionales de Educación Ambiental - CIDEA
Actividad 3.1.1.1 Brindar anualmente asistencia técnica a los CIDEA municipales para apoyar la elaboración y/o ajuste o implementación del Plan Municipal de Educación Ambiental PEAM.
Actividad 3.1.1.2  Apoyar iniciativas del Comité Técnico Interinstitucional de Educación Ambiental Departamental -CIDEA.
Proyecto 3.1.2 Inclusión de lo ambiental en la educación formal
Actividad 3.1.2.1 Brindar asistencia técnica a las instituciones educativas públicas para apoyar la elaboración, ajuste o implementación de los Proyectos Ambientales Escolares (PRAE).
Actividad 3.1.2.2 Brindar asistencia técnica a los semilleros de investigación o grupos ecológicos en  sus  iniciativas ambientales.
Actividad 3.1.2.3 Realizar acciones con Instituciones de Educación Superior para apoyar la realización  de  iniciativas que promuevan lo ambiental.
Proyecto 3.1.3 Inclusión del tema ambiental en la educación no formal
Actividad 3.1.3.1 Brindar asistencia técnica para apoyar la elaboración, ajuste o implementación de los Proyectos Ciudadanos de Educación Ambiental – PROCEDA o iniciativas ambientales comunitarias.
Actividad 3.1.3.2 Impulsar procesos para la cualificación en materia de Educación Ambiental en los multiplicadores, dinamizadores y ONG ambientales del departamento
Actividad 3.1.3.3 Implementar un programa de formación  de Guardianes del Medio Ambiente GUMA para apoyar acciones prácticas de la gestión ambiental de la Corporación C.R.A en los municipios del departamento del Atlantico
Actividad 3.1.3.4 Desarrollar un programa de capacitación para formar a jóvenes como Gestores Ambientales Urbanos (GAU) en el Departamento
Actividad 3.1.3.5 Implementar el Plan de Actuación Estratégico Territorial Ambiental del Departamento del Atlántico
Actividad 3.1.3.6 Implementar estrategias de conciencia ambiental en niños para fomentar la protección del ambiente.
Proyecto 3.1.4  Articulación de la educación ambiental con el sistema de gestión del riesgo y cambio climático
Actividad 3.1.4.1 Implementar acciones desde la Educación Ambiental para la consolidación de una cultura en el marco de la  gestión del riesgo y del cambio climático.
Proyecto 3.1.5 Fortalecimiento de estrategias de participación ciudadana que apunten al cumplimiento del Acuerdo de Escazú.
Actividad 3.1.5.1 Implementación de estrategias de participación ciudadana que apunten al cumplimiento del Acuerdo de Escazú
Proyecto 3.1.6  Conocimiento y sensibilización para la consolidación de la cultura ambiental.
Actividad 3.1.6.1 Transferencia de conocimiento o campañas ambientales con intencionalidad pedagógica
Proyecto 3.1.7 Inclusión de la perspectiva de género para un desarrollo sostenible centrado en la equidad en el departamento del Atlántico.
Actividad 3.1.7.1 Apoyar iniciativas con perspectiva de género que promuevan la sustentabilidad del territorio en el departamento del Atlántico
Proyecto 3.1.8 Escenarios de divulgación de intercambio de conocimiento de educación ambiental a nivel departamental regional, nacional o internacional
Actividad 3.1.8.1. Promover o participar en escenarios de divulgación de la educación ambiental a nivel departamental, regional, nacional o internacional
Actividad 3.1.8.2. Apoyar eventos o ferias ambientales dirigidas a las organizaciones ambientales del Departamento.
Programa 3.2 Sembrando Saber: cultivando el conocimiento ambiental del Atlántico
Proyecto 3.2.1 Reconocimiento de los saberes y conocimientos tradicionales de las etnias del departamento y su incorporación para la sustentabilidad ambiental
Actividad 3.2.1.1 Apoyar iniciativas para fortalecer los conocimientos, usos, costumbres, saberes y prácticas tradicionales ambientales de las comunidades negras del Departamento del Atlántico
Actividad 3.2.1.2 Apoyar iniciativas para fortalecer los conocimientos, usos, costumbres, saberes y prácticas tradicionales ambientales de las comunidades indígenas y otras étnias tradicionalmente asentadas en el Departamento del Atlántico
Actividad 3.2.1.3 Apoyar iniciativas para fortalecer los conocimientos, usos, costumbres, saberes y prácticas tradicionales ambientales de las comunidades Rrom asentadas en el Departamento del Atlántico
Programa 3.3. NATURALIANZA: Alianzas por el Desarrollo Sostenible y la protección Ambiental
Proyecto 3.3.1 Realizar seguimiento y monitoreo a escala comunitaria de los Objetivos de Desarrollo Sostenible - ODS en el Departamento del Atlántico
Actividad 3.3.1.1 Elaborar Cuatro (4)  Documentos Técnicos con el informe de seguimiento a los ODS de los municipios del Departamento</v>
      </c>
      <c r="P32" s="646" t="str">
        <f t="shared" ref="P32" si="6">IF(ISNUMBER(M32),"",M32)</f>
        <v/>
      </c>
      <c r="Q32" s="647" t="str">
        <f t="shared" si="5"/>
        <v xml:space="preserve"> </v>
      </c>
      <c r="R32" s="648" t="s">
        <v>618</v>
      </c>
      <c r="S32" s="649"/>
    </row>
  </sheetData>
  <mergeCells count="8">
    <mergeCell ref="Q6:S6"/>
    <mergeCell ref="O4:S4"/>
    <mergeCell ref="A3:S3"/>
    <mergeCell ref="A2:S2"/>
    <mergeCell ref="A1:S1"/>
    <mergeCell ref="A4:B4"/>
    <mergeCell ref="K4:N4"/>
    <mergeCell ref="H4:J4"/>
  </mergeCells>
  <conditionalFormatting sqref="C6:C16 D7:F8 D13:D15 D10:F12 C21 E13:F14 D16:F16 C18:C19 C26:C28 D28:F28 C30:C32 D6">
    <cfRule type="colorScale" priority="2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C17">
    <cfRule type="colorScale" priority="10">
      <colorScale>
        <cfvo type="min"/>
        <cfvo type="percentile" val="50"/>
        <cfvo type="max"/>
        <color rgb="FFF8696B"/>
        <color rgb="FFFFEB84"/>
        <color rgb="FF63BE7B"/>
      </colorScale>
    </cfRule>
  </conditionalFormatting>
  <conditionalFormatting sqref="C20">
    <cfRule type="colorScale" priority="12">
      <colorScale>
        <cfvo type="min"/>
        <cfvo type="percentile" val="50"/>
        <cfvo type="max"/>
        <color rgb="FFF8696B"/>
        <color rgb="FFFFEB84"/>
        <color rgb="FF63BE7B"/>
      </colorScale>
    </cfRule>
  </conditionalFormatting>
  <conditionalFormatting sqref="C22:F22">
    <cfRule type="colorScale" priority="5">
      <colorScale>
        <cfvo type="min"/>
        <cfvo type="percentile" val="50"/>
        <cfvo type="max"/>
        <color rgb="FFF8696B"/>
        <color rgb="FFFFEB84"/>
        <color rgb="FF63BE7B"/>
      </colorScale>
    </cfRule>
  </conditionalFormatting>
  <conditionalFormatting sqref="C23:F23">
    <cfRule type="colorScale" priority="4">
      <colorScale>
        <cfvo type="min"/>
        <cfvo type="percentile" val="50"/>
        <cfvo type="max"/>
        <color rgb="FFF8696B"/>
        <color rgb="FFFFEB84"/>
        <color rgb="FF63BE7B"/>
      </colorScale>
    </cfRule>
  </conditionalFormatting>
  <conditionalFormatting sqref="C24:F24">
    <cfRule type="colorScale" priority="3">
      <colorScale>
        <cfvo type="min"/>
        <cfvo type="percentile" val="50"/>
        <cfvo type="max"/>
        <color rgb="FFF8696B"/>
        <color rgb="FFFFEB84"/>
        <color rgb="FF63BE7B"/>
      </colorScale>
    </cfRule>
  </conditionalFormatting>
  <conditionalFormatting sqref="C25:F25">
    <cfRule type="colorScale" priority="2">
      <colorScale>
        <cfvo type="min"/>
        <cfvo type="percentile" val="50"/>
        <cfvo type="max"/>
        <color rgb="FFF8696B"/>
        <color rgb="FFFFEB84"/>
        <color rgb="FF63BE7B"/>
      </colorScale>
    </cfRule>
  </conditionalFormatting>
  <conditionalFormatting sqref="C29:F29">
    <cfRule type="colorScale" priority="1">
      <colorScale>
        <cfvo type="min"/>
        <cfvo type="percentile" val="50"/>
        <cfvo type="max"/>
        <color rgb="FFF8696B"/>
        <color rgb="FFFFEB84"/>
        <color rgb="FF63BE7B"/>
      </colorScale>
    </cfRule>
  </conditionalFormatting>
  <conditionalFormatting sqref="D17:D21 D9 D26:D27 D30:D32">
    <cfRule type="colorScale" priority="51">
      <colorScale>
        <cfvo type="min"/>
        <cfvo type="percentile" val="50"/>
        <cfvo type="max"/>
        <color rgb="FFF8696B"/>
        <color rgb="FFFFEB84"/>
        <color rgb="FF63BE7B"/>
      </colorScale>
    </cfRule>
  </conditionalFormatting>
  <conditionalFormatting sqref="E18">
    <cfRule type="colorScale" priority="8">
      <colorScale>
        <cfvo type="min"/>
        <cfvo type="percentile" val="50"/>
        <cfvo type="max"/>
        <color rgb="FFF8696B"/>
        <color rgb="FFFFEB84"/>
        <color rgb="FF63BE7B"/>
      </colorScale>
    </cfRule>
  </conditionalFormatting>
  <conditionalFormatting sqref="E19">
    <cfRule type="colorScale" priority="7">
      <colorScale>
        <cfvo type="min"/>
        <cfvo type="percentile" val="50"/>
        <cfvo type="max"/>
        <color rgb="FFF8696B"/>
        <color rgb="FFFFEB84"/>
        <color rgb="FF63BE7B"/>
      </colorScale>
    </cfRule>
  </conditionalFormatting>
  <conditionalFormatting sqref="E20">
    <cfRule type="colorScale" priority="11">
      <colorScale>
        <cfvo type="min"/>
        <cfvo type="percentile" val="50"/>
        <cfvo type="max"/>
        <color rgb="FFF8696B"/>
        <color rgb="FFFFEB84"/>
        <color rgb="FF63BE7B"/>
      </colorScale>
    </cfRule>
  </conditionalFormatting>
  <conditionalFormatting sqref="E6:F6">
    <cfRule type="colorScale" priority="26">
      <colorScale>
        <cfvo type="min"/>
        <cfvo type="percentile" val="50"/>
        <cfvo type="max"/>
        <color rgb="FFF8696B"/>
        <color rgb="FFFFEB84"/>
        <color rgb="FF63BE7B"/>
      </colorScale>
    </cfRule>
  </conditionalFormatting>
  <conditionalFormatting sqref="E9:F9 E15:F15 E26:F27 F18:F20 E30:F32">
    <cfRule type="colorScale" priority="27">
      <colorScale>
        <cfvo type="min"/>
        <cfvo type="percentile" val="50"/>
        <cfvo type="max"/>
        <color rgb="FFF8696B"/>
        <color rgb="FFFFEB84"/>
        <color rgb="FF63BE7B"/>
      </colorScale>
    </cfRule>
  </conditionalFormatting>
  <conditionalFormatting sqref="E17:F17">
    <cfRule type="colorScale" priority="9">
      <colorScale>
        <cfvo type="min"/>
        <cfvo type="percentile" val="50"/>
        <cfvo type="max"/>
        <color rgb="FFF8696B"/>
        <color rgb="FFFFEB84"/>
        <color rgb="FF63BE7B"/>
      </colorScale>
    </cfRule>
  </conditionalFormatting>
  <conditionalFormatting sqref="E21:F21">
    <cfRule type="colorScale" priority="6">
      <colorScale>
        <cfvo type="min"/>
        <cfvo type="percentile" val="50"/>
        <cfvo type="max"/>
        <color rgb="FFF8696B"/>
        <color rgb="FFFFEB84"/>
        <color rgb="FF63BE7B"/>
      </colorScale>
    </cfRule>
  </conditionalFormatting>
  <conditionalFormatting sqref="H6:I6">
    <cfRule type="colorScale" priority="36">
      <colorScale>
        <cfvo type="min"/>
        <cfvo type="percentile" val="50"/>
        <cfvo type="max"/>
        <color rgb="FFF8696B"/>
        <color rgb="FFFFEB84"/>
        <color rgb="FF63BE7B"/>
      </colorScale>
    </cfRule>
  </conditionalFormatting>
  <conditionalFormatting sqref="H7:I32">
    <cfRule type="colorScale" priority="48">
      <colorScale>
        <cfvo type="min"/>
        <cfvo type="percentile" val="50"/>
        <cfvo type="max"/>
        <color rgb="FFF8696B"/>
        <color rgb="FFFFEB84"/>
        <color rgb="FF63BE7B"/>
      </colorScale>
    </cfRule>
  </conditionalFormatting>
  <conditionalFormatting sqref="J6">
    <cfRule type="colorScale" priority="35">
      <colorScale>
        <cfvo type="min"/>
        <cfvo type="percentile" val="50"/>
        <cfvo type="max"/>
        <color rgb="FFF8696B"/>
        <color rgb="FFFFEB84"/>
        <color rgb="FF63BE7B"/>
      </colorScale>
    </cfRule>
  </conditionalFormatting>
  <conditionalFormatting sqref="J7:J32">
    <cfRule type="colorScale" priority="37">
      <colorScale>
        <cfvo type="min"/>
        <cfvo type="percentile" val="50"/>
        <cfvo type="max"/>
        <color rgb="FFF8696B"/>
        <color rgb="FFFFEB84"/>
        <color rgb="FF63BE7B"/>
      </colorScale>
    </cfRule>
  </conditionalFormatting>
  <conditionalFormatting sqref="K6:K7">
    <cfRule type="colorScale" priority="44">
      <colorScale>
        <cfvo type="min"/>
        <cfvo type="percentile" val="50"/>
        <cfvo type="max"/>
        <color rgb="FFF8696B"/>
        <color rgb="FFFFEB84"/>
        <color rgb="FF63BE7B"/>
      </colorScale>
    </cfRule>
  </conditionalFormatting>
  <conditionalFormatting sqref="K8:K32">
    <cfRule type="colorScale" priority="43">
      <colorScale>
        <cfvo type="min"/>
        <cfvo type="percentile" val="50"/>
        <cfvo type="max"/>
        <color rgb="FFF8696B"/>
        <color rgb="FFFFEB84"/>
        <color rgb="FF63BE7B"/>
      </colorScale>
    </cfRule>
  </conditionalFormatting>
  <conditionalFormatting sqref="L6:L32">
    <cfRule type="colorScale" priority="42">
      <colorScale>
        <cfvo type="min"/>
        <cfvo type="percentile" val="50"/>
        <cfvo type="max"/>
        <color rgb="FFF8696B"/>
        <color rgb="FFFFEB84"/>
        <color rgb="FF63BE7B"/>
      </colorScale>
    </cfRule>
  </conditionalFormatting>
  <conditionalFormatting sqref="M6">
    <cfRule type="colorScale" priority="40">
      <colorScale>
        <cfvo type="min"/>
        <cfvo type="percentile" val="50"/>
        <cfvo type="max"/>
        <color rgb="FFF8696B"/>
        <color rgb="FFFFEB84"/>
        <color rgb="FF63BE7B"/>
      </colorScale>
    </cfRule>
  </conditionalFormatting>
  <conditionalFormatting sqref="M7:M32">
    <cfRule type="colorScale" priority="38">
      <colorScale>
        <cfvo type="min"/>
        <cfvo type="percentile" val="50"/>
        <cfvo type="max"/>
        <color rgb="FFF8696B"/>
        <color rgb="FFFFEB84"/>
        <color rgb="FF63BE7B"/>
      </colorScale>
    </cfRule>
  </conditionalFormatting>
  <conditionalFormatting sqref="N6">
    <cfRule type="colorScale" priority="32">
      <colorScale>
        <cfvo type="min"/>
        <cfvo type="percentile" val="50"/>
        <cfvo type="max"/>
        <color rgb="FFF8696B"/>
        <color rgb="FFFFEB84"/>
        <color rgb="FF63BE7B"/>
      </colorScale>
    </cfRule>
  </conditionalFormatting>
  <conditionalFormatting sqref="N7:N32">
    <cfRule type="colorScale" priority="31">
      <colorScale>
        <cfvo type="min"/>
        <cfvo type="percentile" val="50"/>
        <cfvo type="max"/>
        <color rgb="FFF8696B"/>
        <color rgb="FFFFEB84"/>
        <color rgb="FF63BE7B"/>
      </colorScale>
    </cfRule>
  </conditionalFormatting>
  <conditionalFormatting sqref="O6:O7">
    <cfRule type="colorScale" priority="19">
      <colorScale>
        <cfvo type="min"/>
        <cfvo type="percentile" val="50"/>
        <cfvo type="max"/>
        <color rgb="FFF8696B"/>
        <color rgb="FFFFEB84"/>
        <color rgb="FF63BE7B"/>
      </colorScale>
    </cfRule>
  </conditionalFormatting>
  <conditionalFormatting sqref="O8:O32">
    <cfRule type="colorScale" priority="18">
      <colorScale>
        <cfvo type="min"/>
        <cfvo type="percentile" val="50"/>
        <cfvo type="max"/>
        <color rgb="FFF8696B"/>
        <color rgb="FFFFEB84"/>
        <color rgb="FF63BE7B"/>
      </colorScale>
    </cfRule>
  </conditionalFormatting>
  <conditionalFormatting sqref="P6:P32">
    <cfRule type="colorScale" priority="17">
      <colorScale>
        <cfvo type="min"/>
        <cfvo type="percentile" val="50"/>
        <cfvo type="max"/>
        <color rgb="FFF8696B"/>
        <color rgb="FFFFEB84"/>
        <color rgb="FF63BE7B"/>
      </colorScale>
    </cfRule>
  </conditionalFormatting>
  <conditionalFormatting sqref="Q6">
    <cfRule type="colorScale" priority="16">
      <colorScale>
        <cfvo type="min"/>
        <cfvo type="percentile" val="50"/>
        <cfvo type="max"/>
        <color rgb="FFF8696B"/>
        <color rgb="FFFFEB84"/>
        <color rgb="FF63BE7B"/>
      </colorScale>
    </cfRule>
  </conditionalFormatting>
  <conditionalFormatting sqref="Q7:Q32">
    <cfRule type="colorScale" priority="15">
      <colorScale>
        <cfvo type="min"/>
        <cfvo type="percentile" val="50"/>
        <cfvo type="max"/>
        <color rgb="FFF8696B"/>
        <color rgb="FFFFEB84"/>
        <color rgb="FF63BE7B"/>
      </colorScale>
    </cfRule>
  </conditionalFormatting>
  <conditionalFormatting sqref="R7:R32">
    <cfRule type="colorScale" priority="13">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xr:uid="{00000000-0004-0000-0400-000000000000}"/>
    <hyperlink ref="B7" location="'2PORH'!A1" display="Porcentaje de cuerpos de agua con planes de ordenamiento del recurso hídrico (PORH) adoptados" xr:uid="{00000000-0004-0000-0400-000001000000}"/>
    <hyperlink ref="B8" location="'3PSMV'!_Toc467769470" display="Porcentaje de Planes de Saneamiento y Manejo de Vertimientos (PSMV) con seguimiento" xr:uid="{00000000-0004-0000-0400-000002000000}"/>
    <hyperlink ref="B9" location="'4UsoAguas'!_Toc467769471" display="Porcentaje de cuerpos de agua con reglamentación del uso de las aguas" xr:uid="{00000000-0004-0000-0400-000003000000}"/>
    <hyperlink ref="B10" location="'5PUEAA'!_Toc467769472" display="Porcentaje de Programas de Uso Eficiente y Ahorro del Agua (PUEAA) con seguimiento" xr:uid="{00000000-0004-0000-0400-000004000000}"/>
    <hyperlink ref="B11" location="'6POMCASejec'!_Toc467769473" display="Porcentaje de Planes de Ordenación y Manejo de Cuencas (POMCAS), Planes de Manejo de Acuíferos (PMA) y Planes de Manejo de Microcuencas (PMM) en ejecución" xr:uid="{00000000-0004-0000-0400-000005000000}"/>
    <hyperlink ref="B12" location="'7Clima'!_Toc467769474" display="Porcentaje de entes territoriales asesorados en la incorporación, planificación y ejecución de acciones relacionadas con cambio climático en el marco de los instrumentos de planificación territorial" xr:uid="{00000000-0004-0000-0400-000006000000}"/>
    <hyperlink ref="B13" location="'8Suelo'!_Toc467769475" display="Porcentaje de suelos degradados en recuperación o rehabilitación" xr:uid="{00000000-0004-0000-0400-000007000000}"/>
    <hyperlink ref="B14" location="'9RUNAP'!_Toc467769476" display="Porcentaje de la superficie de áreas protegidas regionales declaradas, homologadas o recategorizadas, inscritas en el RUNAP" xr:uid="{00000000-0004-0000-0400-000008000000}"/>
    <hyperlink ref="B15" location="'10Paramos'!_Toc467769477" display="Porcentaje de páramos delimitados por el MADS, con zonificación y régimen de usos adoptados por la CAR" xr:uid="{00000000-0004-0000-0400-000009000000}"/>
    <hyperlink ref="B16" location="'11Forest'!_Toc467769478" display="Porcentaje de avance en la formulación del Plan de Ordenación Forestal" xr:uid="{00000000-0004-0000-0400-00000A000000}"/>
    <hyperlink ref="B17" location="'12PlanesAP'!_Toc467769479" display="Porcentaje de áreas protegidas con planes de manejo en ejecución" xr:uid="{00000000-0004-0000-0400-00000B000000}"/>
    <hyperlink ref="B18" location="'13Amenaz'!_Toc467769480" display="Porcentaje de especies amenazadas con medidas de conservación y manejo en ejecución" xr:uid="{00000000-0004-0000-0400-00000C000000}"/>
    <hyperlink ref="B19" location="'14Invasor'!_Toc467769481" display="Porcentaje de especies invasoras con medidas de prevención, control y manejo en ejecución" xr:uid="{00000000-0004-0000-0400-00000D000000}"/>
    <hyperlink ref="B20" location="'15Restaura'!_Toc467769482" display="Porcentaje de áreas de ecosistemas en restauración, rehabilitación y reforestación" xr:uid="{00000000-0004-0000-0400-00000E000000}"/>
    <hyperlink ref="B21" location="'16MIZC'!_Toc467769483" display="Implementación de acciones en manejo integrado de zonas costeras" xr:uid="{00000000-0004-0000-0400-00000F000000}"/>
    <hyperlink ref="B22" location="'17PGIRS'!_Toc467769484" display="Porcentaje de Planes de Gestión Integral de Residuos Sólidos (PGIRS) con seguimiento a metas de aprovechamiento" xr:uid="{00000000-0004-0000-0400-000010000000}"/>
    <hyperlink ref="B23" location="'18Sector'!_Toc467769485" display="Porcentaje de sectores con acompañamiento para la reconversión hacia sistemas sostenibles de producción" xr:uid="{00000000-0004-0000-0400-000011000000}"/>
    <hyperlink ref="B24" location="'19GAU'!_Toc467769486" display="Porcentaje de ejecución de acciones en Gestión Ambiental Urbana" xr:uid="{00000000-0004-0000-0400-000012000000}"/>
    <hyperlink ref="B25" location="'20Negoc'!_Toc467769487" display="Implementación del Programa Regional de Negocios Verdes por la autoridad ambiental" xr:uid="{00000000-0004-0000-0400-000013000000}"/>
    <hyperlink ref="B27" location="'22Autor'!_Toc467769489" display="Porcentaje de autorizaciones ambientales con seguimiento" xr:uid="{00000000-0004-0000-0400-000014000000}"/>
    <hyperlink ref="B28" location="'23Sanc'!_Toc467769490" display="Porcentaje de Procesos Sancionatorios Resueltos" xr:uid="{00000000-0004-0000-0400-000015000000}"/>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400-000016000000}"/>
    <hyperlink ref="B30" location="'25Redes'!_Toc467769492" display="Porcentaje de redes y estaciones de monitoreo en operación" xr:uid="{00000000-0004-0000-0400-000017000000}"/>
    <hyperlink ref="B31" location="'26SIAC'!_Toc467769493" display="Porcentaje de actualización y reporte de la información en el SIAC" xr:uid="{00000000-0004-0000-0400-000018000000}"/>
    <hyperlink ref="B32" location="'27Educa'!_Toc467769494" display="Ejecución de Acciones en Educación Ambiental" xr:uid="{00000000-0004-0000-0400-000019000000}"/>
    <hyperlink ref="B26" location="'21TiempoT'!_Toc467769488" display="Tiempo promedio de trámite para la resolución de autorizaciones ambientales otorgadas por la corporación" xr:uid="{00000000-0004-0000-0400-00001A000000}"/>
  </hyperlinks>
  <pageMargins left="0.7" right="0.7" top="0.75" bottom="0.75" header="0.3" footer="0.3"/>
  <pageSetup paperSize="178"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2"/>
  </sheetPr>
  <dimension ref="A1:O178"/>
  <sheetViews>
    <sheetView topLeftCell="A38" zoomScale="77" zoomScaleNormal="77" workbookViewId="0">
      <selection activeCell="J28" sqref="J28:K28"/>
    </sheetView>
  </sheetViews>
  <sheetFormatPr baseColWidth="10" defaultColWidth="11.44140625" defaultRowHeight="14.4"/>
  <cols>
    <col min="1" max="1" width="1.88671875" customWidth="1"/>
    <col min="2" max="2" width="12.88671875" style="5" customWidth="1"/>
    <col min="3" max="3" width="7.6640625" style="65" customWidth="1"/>
    <col min="4" max="4" width="30.109375" customWidth="1"/>
    <col min="5" max="5" width="17.88671875" customWidth="1"/>
    <col min="6" max="6" width="40.44140625" customWidth="1"/>
    <col min="7" max="7" width="14.6640625" customWidth="1"/>
    <col min="8" max="8" width="17.109375" customWidth="1"/>
    <col min="9" max="9" width="15.6640625" customWidth="1"/>
    <col min="10" max="10" width="12.88671875" customWidth="1"/>
    <col min="11" max="11" width="75" customWidth="1"/>
    <col min="12" max="12" width="4.88671875" customWidth="1"/>
  </cols>
  <sheetData>
    <row r="1" spans="1:15" s="304" customFormat="1" ht="100.5" customHeight="1" thickBot="1">
      <c r="A1" s="2384"/>
      <c r="B1" s="2385"/>
      <c r="C1" s="2385"/>
      <c r="D1" s="2385"/>
      <c r="E1" s="2385"/>
      <c r="F1" s="2385"/>
      <c r="G1" s="2385"/>
      <c r="H1" s="2385"/>
      <c r="I1" s="2385"/>
      <c r="J1" s="2385"/>
      <c r="K1" s="2385"/>
      <c r="L1" s="2385"/>
    </row>
    <row r="2" spans="1:15" s="305" customFormat="1" ht="16.2" thickBot="1">
      <c r="A2" s="2381" t="str">
        <f>+'Datos Generales'!C5</f>
        <v>Corporación Autónoma Regional del Atlántico – CRA</v>
      </c>
      <c r="B2" s="2382"/>
      <c r="C2" s="2382"/>
      <c r="D2" s="2382"/>
      <c r="E2" s="2382"/>
      <c r="F2" s="2382"/>
      <c r="G2" s="2382"/>
      <c r="H2" s="2382"/>
      <c r="I2" s="2382"/>
      <c r="J2" s="2382"/>
      <c r="K2" s="2382"/>
      <c r="L2" s="2383"/>
    </row>
    <row r="3" spans="1:15" s="305" customFormat="1" ht="16.2" thickBot="1">
      <c r="A3" s="2392" t="s">
        <v>696</v>
      </c>
      <c r="B3" s="2393"/>
      <c r="C3" s="2393"/>
      <c r="D3" s="2393"/>
      <c r="E3" s="2393"/>
      <c r="F3" s="2393"/>
      <c r="G3" s="2393"/>
      <c r="H3" s="2393"/>
      <c r="I3" s="2393"/>
      <c r="J3" s="2393"/>
      <c r="K3" s="2393"/>
      <c r="L3" s="2394"/>
    </row>
    <row r="4" spans="1:15" s="305" customFormat="1" ht="16.2" thickBot="1">
      <c r="A4" s="2387" t="s">
        <v>697</v>
      </c>
      <c r="B4" s="2388"/>
      <c r="C4" s="2388"/>
      <c r="D4" s="2388"/>
      <c r="E4" s="312" t="str">
        <f>+'Datos Generales'!C6</f>
        <v>2025-II</v>
      </c>
      <c r="F4" s="312"/>
      <c r="G4" s="912"/>
      <c r="H4" s="312"/>
      <c r="I4" s="312"/>
      <c r="J4" s="312"/>
      <c r="K4" s="312"/>
      <c r="L4" s="314"/>
    </row>
    <row r="5" spans="1:15" ht="16.5" customHeight="1" thickBot="1">
      <c r="A5" s="2392" t="s">
        <v>735</v>
      </c>
      <c r="B5" s="2393"/>
      <c r="C5" s="2393"/>
      <c r="D5" s="2393"/>
      <c r="E5" s="2393"/>
      <c r="F5" s="2393"/>
      <c r="G5" s="2393"/>
      <c r="H5" s="2393"/>
      <c r="I5" s="2393"/>
      <c r="J5" s="2393"/>
      <c r="K5" s="2393"/>
      <c r="L5" s="2394"/>
    </row>
    <row r="6" spans="1:15">
      <c r="B6" s="1" t="s">
        <v>736</v>
      </c>
      <c r="C6" s="63"/>
      <c r="D6" s="5"/>
      <c r="E6" s="318"/>
      <c r="F6" s="5" t="s">
        <v>737</v>
      </c>
      <c r="G6" s="5"/>
      <c r="H6" s="5"/>
      <c r="I6" s="5"/>
      <c r="J6" s="5"/>
      <c r="K6" s="5"/>
      <c r="L6" s="5"/>
    </row>
    <row r="7" spans="1:15" ht="15" thickBot="1">
      <c r="B7" s="62"/>
      <c r="C7" s="64"/>
      <c r="D7" s="5"/>
      <c r="E7" s="14"/>
      <c r="F7" s="5" t="s">
        <v>738</v>
      </c>
      <c r="G7" s="5"/>
      <c r="H7" s="5"/>
      <c r="I7" s="5"/>
      <c r="J7" s="5"/>
      <c r="K7" s="5"/>
      <c r="L7" s="5"/>
    </row>
    <row r="8" spans="1:15" ht="15" thickBot="1">
      <c r="B8" s="140" t="s">
        <v>739</v>
      </c>
      <c r="C8" s="754">
        <v>2025</v>
      </c>
      <c r="D8" s="164">
        <f>+IF(E10="NO APLICA","NO APLICA",IF(E11="NO SE REPORTA","SIN INFORMACION",+H63))</f>
        <v>1</v>
      </c>
      <c r="E8" s="178"/>
      <c r="F8" s="5" t="s">
        <v>740</v>
      </c>
      <c r="G8" s="5"/>
      <c r="H8" s="5"/>
      <c r="I8" s="5"/>
      <c r="J8" s="5"/>
      <c r="K8" s="5"/>
    </row>
    <row r="9" spans="1:15">
      <c r="B9" s="290" t="s">
        <v>741</v>
      </c>
      <c r="C9" s="66"/>
      <c r="D9" s="5"/>
      <c r="E9" s="5"/>
      <c r="F9" s="5"/>
      <c r="G9" s="5"/>
      <c r="H9" s="5"/>
      <c r="I9" s="5"/>
      <c r="J9" s="5"/>
      <c r="K9" s="5"/>
    </row>
    <row r="10" spans="1:15">
      <c r="B10" s="2395" t="s">
        <v>742</v>
      </c>
      <c r="C10" s="2395"/>
      <c r="D10" s="2395"/>
      <c r="E10" s="293" t="s">
        <v>743</v>
      </c>
      <c r="F10" s="2398"/>
      <c r="G10" s="2399"/>
      <c r="H10" s="2399"/>
      <c r="I10" s="2399"/>
      <c r="J10" s="2399"/>
      <c r="K10" s="2399"/>
      <c r="L10" s="2399"/>
      <c r="M10" s="2399"/>
      <c r="N10" s="5"/>
      <c r="O10" s="5"/>
    </row>
    <row r="11" spans="1:15" ht="14.4" customHeight="1" thickBot="1">
      <c r="B11" s="292"/>
      <c r="C11" s="66"/>
      <c r="D11" s="141" t="str">
        <f>IF(E10="SI APLICA","¿El indicador no se reporta por limitaciones de información disponible? ","")</f>
        <v xml:space="preserve">¿El indicador no se reporta por limitaciones de información disponible? </v>
      </c>
      <c r="E11" s="913" t="s">
        <v>744</v>
      </c>
      <c r="F11" s="2396"/>
      <c r="G11" s="2397"/>
      <c r="H11" s="2397"/>
      <c r="I11" s="2397"/>
      <c r="J11" s="2397"/>
      <c r="K11" s="2397"/>
      <c r="L11" s="2397"/>
      <c r="M11" s="2397"/>
    </row>
    <row r="12" spans="1:15" ht="108" customHeight="1" thickBot="1">
      <c r="B12" s="290"/>
      <c r="C12" s="66"/>
      <c r="D12" s="303" t="str">
        <f>IF(E11="SI SE REPORTA","¿Qué programas o proyectos del Plan de Acción están asociados al indicador? ","")</f>
        <v xml:space="preserve">¿Qué programas o proyectos del Plan de Acción están asociados al indicador? </v>
      </c>
      <c r="E12" s="2389" t="s">
        <v>745</v>
      </c>
      <c r="F12" s="2390"/>
      <c r="G12" s="2390"/>
      <c r="H12" s="2390"/>
      <c r="I12" s="2390"/>
      <c r="J12" s="2390"/>
      <c r="K12" s="2391"/>
      <c r="L12" s="911"/>
    </row>
    <row r="13" spans="1:15" ht="21.9" customHeight="1" thickBot="1">
      <c r="B13" s="290"/>
      <c r="C13" s="66"/>
      <c r="D13" s="141" t="s">
        <v>746</v>
      </c>
      <c r="E13" s="915"/>
      <c r="F13" s="916"/>
      <c r="G13" s="916"/>
      <c r="H13" s="916"/>
      <c r="I13" s="916"/>
      <c r="J13" s="916"/>
      <c r="K13" s="917"/>
      <c r="L13" s="914"/>
    </row>
    <row r="14" spans="1:15" ht="6.9" customHeight="1" thickBot="1">
      <c r="B14" s="290"/>
      <c r="C14" s="66"/>
      <c r="D14" s="5"/>
      <c r="E14" s="5"/>
      <c r="F14" s="5"/>
      <c r="G14" s="5"/>
      <c r="H14" s="5"/>
      <c r="I14" s="5"/>
      <c r="J14" s="5"/>
      <c r="K14" s="5"/>
    </row>
    <row r="15" spans="1:15" ht="18" customHeight="1" thickBot="1">
      <c r="B15" s="2452" t="s">
        <v>747</v>
      </c>
      <c r="C15" s="80"/>
      <c r="D15" s="2412" t="s">
        <v>748</v>
      </c>
      <c r="E15" s="2413"/>
      <c r="F15" s="2413"/>
      <c r="G15" s="2413"/>
      <c r="H15" s="2413"/>
      <c r="I15" s="2413"/>
      <c r="J15" s="2413"/>
      <c r="K15" s="2414"/>
    </row>
    <row r="16" spans="1:15" ht="81.75" customHeight="1" thickBot="1">
      <c r="B16" s="2453"/>
      <c r="C16" s="86"/>
      <c r="D16" s="34" t="s">
        <v>749</v>
      </c>
      <c r="E16" s="828">
        <v>4</v>
      </c>
      <c r="F16" s="755" t="s">
        <v>750</v>
      </c>
      <c r="G16" s="5"/>
      <c r="H16" s="5"/>
      <c r="I16" s="5"/>
      <c r="J16" s="5"/>
      <c r="K16" s="17"/>
    </row>
    <row r="17" spans="2:12" ht="83.25" customHeight="1" thickBot="1">
      <c r="B17" s="2453"/>
      <c r="C17" s="86"/>
      <c r="D17" s="32" t="s">
        <v>751</v>
      </c>
      <c r="E17" s="828">
        <v>3</v>
      </c>
      <c r="F17" s="755" t="s">
        <v>752</v>
      </c>
      <c r="G17" s="5"/>
      <c r="H17" s="5"/>
      <c r="I17" s="5"/>
      <c r="J17" s="5"/>
      <c r="K17" s="17"/>
    </row>
    <row r="18" spans="2:12" ht="54" customHeight="1" thickBot="1">
      <c r="B18" s="2453"/>
      <c r="C18" s="86"/>
      <c r="D18" s="32" t="s">
        <v>753</v>
      </c>
      <c r="E18" s="828">
        <v>2</v>
      </c>
      <c r="F18" s="756" t="s">
        <v>754</v>
      </c>
      <c r="G18" s="5"/>
      <c r="H18" s="5"/>
      <c r="I18" s="5"/>
      <c r="J18" s="5"/>
      <c r="K18" s="17"/>
    </row>
    <row r="19" spans="2:12" ht="66.75" customHeight="1" thickBot="1">
      <c r="B19" s="2453"/>
      <c r="C19" s="86"/>
      <c r="D19" s="471" t="s">
        <v>755</v>
      </c>
      <c r="E19" s="828">
        <v>3</v>
      </c>
      <c r="F19" s="755" t="s">
        <v>756</v>
      </c>
      <c r="G19" s="5"/>
      <c r="H19" s="5"/>
      <c r="I19" s="5"/>
      <c r="J19" s="5"/>
      <c r="K19" s="17"/>
    </row>
    <row r="20" spans="2:12" ht="32.25" customHeight="1" thickBot="1">
      <c r="B20" s="2453"/>
      <c r="C20" s="86"/>
      <c r="D20" s="32" t="s">
        <v>757</v>
      </c>
      <c r="E20" s="828">
        <v>1</v>
      </c>
      <c r="F20" s="777" t="s">
        <v>758</v>
      </c>
      <c r="G20" s="662"/>
      <c r="H20" s="5"/>
      <c r="I20" s="5"/>
      <c r="J20" s="5"/>
      <c r="K20" s="17"/>
    </row>
    <row r="21" spans="2:12" ht="72" customHeight="1" thickBot="1">
      <c r="B21" s="2454"/>
      <c r="C21" s="86"/>
      <c r="D21" s="32" t="s">
        <v>759</v>
      </c>
      <c r="E21" s="828">
        <v>1</v>
      </c>
      <c r="F21" s="823" t="s">
        <v>760</v>
      </c>
      <c r="G21" s="5"/>
      <c r="H21" s="5"/>
      <c r="I21" s="5"/>
      <c r="J21" s="5"/>
      <c r="K21" s="17"/>
    </row>
    <row r="22" spans="2:12" ht="14.1" customHeight="1">
      <c r="B22" s="215"/>
      <c r="C22" s="81"/>
      <c r="D22" s="2415" t="s">
        <v>761</v>
      </c>
      <c r="E22" s="2416"/>
      <c r="F22" s="2416"/>
      <c r="G22" s="2416"/>
      <c r="H22" s="2416"/>
      <c r="I22" s="2416"/>
      <c r="J22" s="2416"/>
      <c r="K22" s="2417"/>
    </row>
    <row r="23" spans="2:12" ht="14.1" customHeight="1" thickBot="1">
      <c r="B23" s="215"/>
      <c r="C23" s="81"/>
      <c r="D23" s="2415" t="s">
        <v>762</v>
      </c>
      <c r="E23" s="2416"/>
      <c r="F23" s="2416"/>
      <c r="G23" s="2416"/>
      <c r="H23" s="2416"/>
      <c r="I23" s="2416"/>
      <c r="J23" s="2416"/>
      <c r="K23" s="2417"/>
    </row>
    <row r="24" spans="2:12" ht="54" customHeight="1" thickBot="1">
      <c r="B24" s="215"/>
      <c r="C24" s="169"/>
      <c r="D24" s="431" t="s">
        <v>763</v>
      </c>
      <c r="E24" s="431" t="s">
        <v>764</v>
      </c>
      <c r="F24" s="431" t="s">
        <v>765</v>
      </c>
      <c r="G24" s="431" t="s">
        <v>766</v>
      </c>
      <c r="H24" s="717" t="s">
        <v>2085</v>
      </c>
      <c r="I24" s="717" t="s">
        <v>2086</v>
      </c>
      <c r="J24" s="2443" t="s">
        <v>702</v>
      </c>
      <c r="K24" s="2444"/>
    </row>
    <row r="25" spans="2:12" s="148" customFormat="1" ht="75.75" customHeight="1" thickBot="1">
      <c r="B25" s="172"/>
      <c r="C25" s="444">
        <v>1</v>
      </c>
      <c r="D25" s="436" t="s">
        <v>767</v>
      </c>
      <c r="E25" s="611">
        <v>2904</v>
      </c>
      <c r="F25" s="439" t="s">
        <v>768</v>
      </c>
      <c r="G25" s="719">
        <v>113220</v>
      </c>
      <c r="H25" s="437" t="s">
        <v>769</v>
      </c>
      <c r="I25" s="438">
        <v>1</v>
      </c>
      <c r="J25" s="2445" t="s">
        <v>770</v>
      </c>
      <c r="K25" s="2446"/>
    </row>
    <row r="26" spans="2:12" s="148" customFormat="1" ht="39.75" customHeight="1" thickBot="1">
      <c r="B26" s="172"/>
      <c r="C26" s="444">
        <v>2</v>
      </c>
      <c r="D26" s="436" t="s">
        <v>767</v>
      </c>
      <c r="E26" s="612">
        <v>2909</v>
      </c>
      <c r="F26" s="440" t="s">
        <v>771</v>
      </c>
      <c r="G26" s="719">
        <v>30180</v>
      </c>
      <c r="H26" s="437" t="s">
        <v>772</v>
      </c>
      <c r="I26" s="438">
        <v>1</v>
      </c>
      <c r="J26" s="2427" t="s">
        <v>773</v>
      </c>
      <c r="K26" s="2428"/>
    </row>
    <row r="27" spans="2:12" s="148" customFormat="1" ht="96.75" customHeight="1" thickBot="1">
      <c r="B27" s="172"/>
      <c r="C27" s="444">
        <v>3</v>
      </c>
      <c r="D27" s="436" t="s">
        <v>767</v>
      </c>
      <c r="E27" s="612">
        <v>2903</v>
      </c>
      <c r="F27" s="441" t="s">
        <v>774</v>
      </c>
      <c r="G27" s="719">
        <v>441011</v>
      </c>
      <c r="H27" s="437" t="s">
        <v>772</v>
      </c>
      <c r="I27" s="438">
        <v>1</v>
      </c>
      <c r="J27" s="2429" t="s">
        <v>775</v>
      </c>
      <c r="K27" s="2430"/>
    </row>
    <row r="28" spans="2:12" s="148" customFormat="1" ht="74.25" customHeight="1" thickBot="1">
      <c r="B28" s="172"/>
      <c r="C28" s="444">
        <v>4</v>
      </c>
      <c r="D28" s="436" t="s">
        <v>776</v>
      </c>
      <c r="E28" s="612" t="s">
        <v>596</v>
      </c>
      <c r="F28" s="441" t="s">
        <v>777</v>
      </c>
      <c r="G28" s="719">
        <v>7392</v>
      </c>
      <c r="H28" s="437" t="s">
        <v>772</v>
      </c>
      <c r="I28" s="438">
        <v>1</v>
      </c>
      <c r="J28" s="2445" t="s">
        <v>2087</v>
      </c>
      <c r="K28" s="2446"/>
      <c r="L28" s="802"/>
    </row>
    <row r="29" spans="2:12" ht="14.1" customHeight="1">
      <c r="B29" s="215"/>
      <c r="C29" s="81"/>
      <c r="D29" s="2403" t="s">
        <v>779</v>
      </c>
      <c r="E29" s="2404"/>
      <c r="F29" s="2404"/>
      <c r="G29" s="2404"/>
      <c r="H29" s="2404"/>
      <c r="I29" s="2404"/>
      <c r="J29" s="2404"/>
      <c r="K29" s="2405"/>
    </row>
    <row r="30" spans="2:12" ht="14.1" customHeight="1">
      <c r="B30" s="215"/>
      <c r="C30" s="81"/>
      <c r="D30" s="2455" t="s">
        <v>780</v>
      </c>
      <c r="E30" s="2456"/>
      <c r="F30" s="2456"/>
      <c r="G30" s="2456"/>
      <c r="H30" s="2456"/>
      <c r="I30" s="2456"/>
      <c r="J30" s="2456"/>
      <c r="K30" s="2457"/>
    </row>
    <row r="31" spans="2:12" ht="14.1" customHeight="1">
      <c r="B31" s="215"/>
      <c r="C31" s="81"/>
      <c r="D31" s="2455" t="s">
        <v>781</v>
      </c>
      <c r="E31" s="2456"/>
      <c r="F31" s="2456"/>
      <c r="G31" s="2456"/>
      <c r="H31" s="2456"/>
      <c r="I31" s="2456"/>
      <c r="J31" s="2456"/>
      <c r="K31" s="2457"/>
    </row>
    <row r="32" spans="2:12" ht="14.1" customHeight="1">
      <c r="B32" s="215"/>
      <c r="C32" s="81"/>
      <c r="D32" s="2455" t="s">
        <v>782</v>
      </c>
      <c r="E32" s="2456"/>
      <c r="F32" s="2456"/>
      <c r="G32" s="2456"/>
      <c r="H32" s="2456"/>
      <c r="I32" s="2456"/>
      <c r="J32" s="2456"/>
      <c r="K32" s="2457"/>
    </row>
    <row r="33" spans="2:11" ht="16.5" customHeight="1" thickBot="1">
      <c r="B33" s="215"/>
      <c r="C33" s="81"/>
      <c r="D33" s="2406" t="s">
        <v>783</v>
      </c>
      <c r="E33" s="2407"/>
      <c r="F33" s="2407"/>
      <c r="G33" s="2407"/>
      <c r="H33" s="2407"/>
      <c r="I33" s="2407"/>
      <c r="J33" s="2407"/>
      <c r="K33" s="2408"/>
    </row>
    <row r="34" spans="2:11" s="461" customFormat="1" ht="38.25" customHeight="1" thickBot="1">
      <c r="B34" s="533"/>
      <c r="C34" s="430" t="s">
        <v>698</v>
      </c>
      <c r="D34" s="430" t="s">
        <v>763</v>
      </c>
      <c r="E34" s="430" t="s">
        <v>764</v>
      </c>
      <c r="F34" s="151" t="s">
        <v>765</v>
      </c>
      <c r="G34" s="614" t="s">
        <v>784</v>
      </c>
      <c r="H34" s="614" t="s">
        <v>785</v>
      </c>
      <c r="I34" s="614" t="s">
        <v>786</v>
      </c>
      <c r="J34" s="614" t="s">
        <v>787</v>
      </c>
      <c r="K34" s="534"/>
    </row>
    <row r="35" spans="2:11" s="442" customFormat="1" ht="56.25" customHeight="1" thickBot="1">
      <c r="B35" s="443"/>
      <c r="C35" s="444">
        <v>1</v>
      </c>
      <c r="D35" s="436" t="s">
        <v>767</v>
      </c>
      <c r="E35" s="611">
        <v>2904</v>
      </c>
      <c r="F35" s="803" t="s">
        <v>768</v>
      </c>
      <c r="G35" s="447">
        <v>1</v>
      </c>
      <c r="H35" s="447">
        <v>1</v>
      </c>
      <c r="I35" s="447"/>
      <c r="J35" s="447"/>
      <c r="K35" s="446"/>
    </row>
    <row r="36" spans="2:11" s="442" customFormat="1" ht="63.75" customHeight="1" thickBot="1">
      <c r="B36" s="443"/>
      <c r="C36" s="444">
        <v>2</v>
      </c>
      <c r="D36" s="436" t="s">
        <v>767</v>
      </c>
      <c r="E36" s="612">
        <v>2903</v>
      </c>
      <c r="F36" s="804" t="s">
        <v>774</v>
      </c>
      <c r="G36" s="447">
        <v>1</v>
      </c>
      <c r="H36" s="447">
        <v>1</v>
      </c>
      <c r="I36" s="447"/>
      <c r="J36" s="447"/>
      <c r="K36" s="446"/>
    </row>
    <row r="37" spans="2:11" s="442" customFormat="1" ht="63.75" customHeight="1" thickBot="1">
      <c r="B37" s="443"/>
      <c r="C37" s="444"/>
      <c r="D37" s="436" t="s">
        <v>767</v>
      </c>
      <c r="E37" s="612">
        <v>2909</v>
      </c>
      <c r="F37" s="804" t="s">
        <v>771</v>
      </c>
      <c r="G37" s="447">
        <v>1</v>
      </c>
      <c r="H37" s="447">
        <v>1</v>
      </c>
      <c r="I37" s="447"/>
      <c r="J37" s="447"/>
      <c r="K37" s="446"/>
    </row>
    <row r="38" spans="2:11" s="442" customFormat="1" ht="56.25" customHeight="1" thickBot="1">
      <c r="B38" s="443"/>
      <c r="C38" s="444">
        <v>3</v>
      </c>
      <c r="D38" s="436" t="s">
        <v>776</v>
      </c>
      <c r="E38" s="612" t="s">
        <v>596</v>
      </c>
      <c r="F38" s="441" t="s">
        <v>788</v>
      </c>
      <c r="G38" s="447">
        <v>0.7</v>
      </c>
      <c r="H38" s="447">
        <v>1</v>
      </c>
      <c r="I38" s="447"/>
      <c r="J38" s="447"/>
      <c r="K38" s="446"/>
    </row>
    <row r="39" spans="2:11" s="442" customFormat="1" ht="56.25" hidden="1" customHeight="1" thickBot="1">
      <c r="B39" s="443"/>
      <c r="C39" s="444">
        <v>5</v>
      </c>
      <c r="D39" s="436"/>
      <c r="E39" s="436"/>
      <c r="F39" s="441"/>
      <c r="G39" s="26"/>
      <c r="H39" s="26"/>
      <c r="I39" s="26"/>
      <c r="J39" s="26"/>
      <c r="K39" s="446"/>
    </row>
    <row r="40" spans="2:11" s="442" customFormat="1" ht="27.75" hidden="1" customHeight="1">
      <c r="B40" s="443"/>
      <c r="C40" s="444">
        <v>6</v>
      </c>
      <c r="D40" s="266"/>
      <c r="E40" s="266"/>
      <c r="F40" s="266"/>
      <c r="G40" s="433"/>
      <c r="H40" s="433"/>
      <c r="I40" s="433"/>
      <c r="J40" s="433"/>
      <c r="K40" s="445"/>
    </row>
    <row r="41" spans="2:11" ht="14.1" customHeight="1">
      <c r="B41" s="215"/>
      <c r="C41" s="81"/>
      <c r="D41" s="2412" t="s">
        <v>789</v>
      </c>
      <c r="E41" s="2413"/>
      <c r="F41" s="2413"/>
      <c r="G41" s="2413"/>
      <c r="H41" s="2413"/>
      <c r="I41" s="2413"/>
      <c r="J41" s="2413"/>
      <c r="K41" s="2414"/>
    </row>
    <row r="42" spans="2:11" ht="14.1" customHeight="1" thickBot="1">
      <c r="B42" s="215"/>
      <c r="C42" s="81"/>
      <c r="D42" s="2406" t="s">
        <v>790</v>
      </c>
      <c r="E42" s="2407"/>
      <c r="F42" s="2407"/>
      <c r="G42" s="2407"/>
      <c r="H42" s="2407"/>
      <c r="I42" s="2407"/>
      <c r="J42" s="2407"/>
      <c r="K42" s="2408"/>
    </row>
    <row r="43" spans="2:11" ht="33" customHeight="1" thickBot="1">
      <c r="B43" s="215"/>
      <c r="C43" s="76" t="s">
        <v>698</v>
      </c>
      <c r="D43" s="34" t="s">
        <v>763</v>
      </c>
      <c r="E43" s="34" t="s">
        <v>791</v>
      </c>
      <c r="F43" s="34" t="s">
        <v>765</v>
      </c>
      <c r="G43" s="68" t="s">
        <v>784</v>
      </c>
      <c r="H43" s="68" t="s">
        <v>1147</v>
      </c>
      <c r="I43" s="68" t="s">
        <v>594</v>
      </c>
      <c r="J43" s="68" t="s">
        <v>595</v>
      </c>
      <c r="K43" s="451"/>
    </row>
    <row r="44" spans="2:11" s="442" customFormat="1" ht="48.75" customHeight="1" thickBot="1">
      <c r="B44" s="443"/>
      <c r="C44" s="444">
        <v>1</v>
      </c>
      <c r="D44" s="449" t="str">
        <f t="shared" ref="D44:F45" si="0">IF(ISBLANK(D35),"",D35)</f>
        <v>POMCA</v>
      </c>
      <c r="E44" s="449">
        <f t="shared" si="0"/>
        <v>2904</v>
      </c>
      <c r="F44" s="450" t="str">
        <f t="shared" si="0"/>
        <v>Cuenca del complejo de humedades del Rio Magdalena</v>
      </c>
      <c r="G44" s="447">
        <v>1</v>
      </c>
      <c r="H44" s="447">
        <v>1</v>
      </c>
      <c r="I44" s="447"/>
      <c r="J44" s="447"/>
      <c r="K44" s="434"/>
    </row>
    <row r="45" spans="2:11" s="442" customFormat="1" ht="36" customHeight="1" thickBot="1">
      <c r="B45" s="443"/>
      <c r="C45" s="444">
        <v>2</v>
      </c>
      <c r="D45" s="449" t="str">
        <f t="shared" si="0"/>
        <v>POMCA</v>
      </c>
      <c r="E45" s="449">
        <f t="shared" si="0"/>
        <v>2903</v>
      </c>
      <c r="F45" s="450" t="str">
        <f t="shared" si="0"/>
        <v>Cuencas Hidrográficas del Canal del Dique.</v>
      </c>
      <c r="G45" s="447">
        <v>1</v>
      </c>
      <c r="H45" s="447">
        <v>1</v>
      </c>
      <c r="I45" s="447"/>
      <c r="J45" s="447"/>
      <c r="K45" s="434"/>
    </row>
    <row r="46" spans="2:11" s="442" customFormat="1" ht="36" customHeight="1" thickBot="1">
      <c r="B46" s="443"/>
      <c r="C46" s="444"/>
      <c r="D46" s="449" t="s">
        <v>767</v>
      </c>
      <c r="E46" s="449">
        <v>2909</v>
      </c>
      <c r="F46" s="450" t="s">
        <v>771</v>
      </c>
      <c r="G46" s="806">
        <v>1</v>
      </c>
      <c r="H46" s="806">
        <v>1</v>
      </c>
      <c r="I46" s="447"/>
      <c r="J46" s="447"/>
      <c r="K46" s="434"/>
    </row>
    <row r="47" spans="2:11" s="442" customFormat="1" ht="49.5" customHeight="1" thickBot="1">
      <c r="B47" s="443"/>
      <c r="C47" s="444">
        <v>3</v>
      </c>
      <c r="D47" s="449" t="str">
        <f t="shared" ref="D47:F47" si="1">IF(ISBLANK(D38),"",D38)</f>
        <v>PMA</v>
      </c>
      <c r="E47" s="449" t="str">
        <f t="shared" si="1"/>
        <v>NA</v>
      </c>
      <c r="F47" s="450" t="str">
        <f t="shared" si="1"/>
        <v>Sistema de acuifero de Sabanalarga- Tubara</v>
      </c>
      <c r="G47" s="805">
        <v>0.7</v>
      </c>
      <c r="H47" s="805">
        <v>1</v>
      </c>
      <c r="I47" s="613"/>
      <c r="J47" s="661"/>
      <c r="K47" s="434"/>
    </row>
    <row r="48" spans="2:11" s="148" customFormat="1" ht="24" customHeight="1" thickBot="1">
      <c r="B48" s="172"/>
      <c r="C48" s="169">
        <v>13</v>
      </c>
      <c r="D48" s="175" t="e">
        <f>IF(ISBLANK(#REF!),"",#REF!)</f>
        <v>#REF!</v>
      </c>
      <c r="E48" s="175" t="e">
        <f>IF(ISBLANK(#REF!),"",#REF!)</f>
        <v>#REF!</v>
      </c>
      <c r="F48" s="175" t="e">
        <f>IF(ISBLANK(#REF!),"",#REF!)</f>
        <v>#REF!</v>
      </c>
      <c r="G48" s="26"/>
      <c r="H48" s="26"/>
      <c r="I48" s="26"/>
      <c r="J48" s="26"/>
      <c r="K48" s="89"/>
    </row>
    <row r="49" spans="2:11" ht="14.1" customHeight="1">
      <c r="B49" s="215"/>
      <c r="C49" s="81"/>
      <c r="D49" s="2412" t="s">
        <v>779</v>
      </c>
      <c r="E49" s="2413"/>
      <c r="F49" s="2413"/>
      <c r="G49" s="2413"/>
      <c r="H49" s="2413"/>
      <c r="I49" s="2413"/>
      <c r="J49" s="2413"/>
      <c r="K49" s="2414"/>
    </row>
    <row r="50" spans="2:11" ht="14.1" customHeight="1">
      <c r="B50" s="215"/>
      <c r="C50" s="81"/>
      <c r="D50" s="2403" t="s">
        <v>792</v>
      </c>
      <c r="E50" s="2404"/>
      <c r="F50" s="2404"/>
      <c r="G50" s="2404"/>
      <c r="H50" s="2404"/>
      <c r="I50" s="2404"/>
      <c r="J50" s="2404"/>
      <c r="K50" s="2405"/>
    </row>
    <row r="51" spans="2:11" ht="14.1" customHeight="1" thickBot="1">
      <c r="B51" s="215"/>
      <c r="C51" s="81"/>
      <c r="D51" s="2406" t="s">
        <v>793</v>
      </c>
      <c r="E51" s="2407"/>
      <c r="F51" s="2407"/>
      <c r="G51" s="2407"/>
      <c r="H51" s="2407"/>
      <c r="I51" s="2407"/>
      <c r="J51" s="2407"/>
      <c r="K51" s="2408"/>
    </row>
    <row r="52" spans="2:11" ht="36.75" customHeight="1" thickBot="1">
      <c r="B52" s="215"/>
      <c r="C52" s="207" t="s">
        <v>698</v>
      </c>
      <c r="D52" s="58" t="s">
        <v>763</v>
      </c>
      <c r="E52" s="58" t="s">
        <v>791</v>
      </c>
      <c r="F52" s="58" t="s">
        <v>765</v>
      </c>
      <c r="G52" s="718" t="s">
        <v>794</v>
      </c>
      <c r="H52" s="718" t="s">
        <v>1147</v>
      </c>
      <c r="I52" s="718" t="s">
        <v>594</v>
      </c>
      <c r="J52" s="718" t="s">
        <v>595</v>
      </c>
      <c r="K52" s="91"/>
    </row>
    <row r="53" spans="2:11" ht="41.25" customHeight="1" thickBot="1">
      <c r="B53" s="215"/>
      <c r="C53" s="2">
        <v>1</v>
      </c>
      <c r="D53" s="208" t="str">
        <f t="shared" ref="D53:F54" si="2">IF(ISBLANK(D44),"",D44)</f>
        <v>POMCA</v>
      </c>
      <c r="E53" s="208">
        <f t="shared" si="2"/>
        <v>2904</v>
      </c>
      <c r="F53" s="535" t="str">
        <f t="shared" si="2"/>
        <v>Cuenca del complejo de humedades del Rio Magdalena</v>
      </c>
      <c r="G53" s="401">
        <f>IFERROR(G44/G35,"N.A.")</f>
        <v>1</v>
      </c>
      <c r="H53" s="209">
        <f>IFERROR(H44/H35,"N.A.")</f>
        <v>1</v>
      </c>
      <c r="I53" s="209" t="str">
        <f>IFERROR(I44/I35,"N.A.")</f>
        <v>N.A.</v>
      </c>
      <c r="J53" s="209" t="str">
        <f>IFERROR(J44/J35,"N.A.")</f>
        <v>N.A.</v>
      </c>
      <c r="K53" s="92"/>
    </row>
    <row r="54" spans="2:11" ht="33" customHeight="1" thickBot="1">
      <c r="B54" s="215"/>
      <c r="C54" s="2">
        <v>2</v>
      </c>
      <c r="D54" s="208" t="str">
        <f t="shared" si="2"/>
        <v>POMCA</v>
      </c>
      <c r="E54" s="208">
        <f t="shared" si="2"/>
        <v>2903</v>
      </c>
      <c r="F54" s="535" t="str">
        <f t="shared" si="2"/>
        <v>Cuencas Hidrográficas del Canal del Dique.</v>
      </c>
      <c r="G54" s="209">
        <f>IFERROR(G45/G36,"N.A.")</f>
        <v>1</v>
      </c>
      <c r="H54" s="209">
        <f>IFERROR(H45/H36,"N.A.")</f>
        <v>1</v>
      </c>
      <c r="I54" s="209" t="s">
        <v>596</v>
      </c>
      <c r="J54" s="209" t="str">
        <f>IFERROR(J45/J36,"N.A.")</f>
        <v>N.A.</v>
      </c>
      <c r="K54" s="92"/>
    </row>
    <row r="55" spans="2:11" ht="33" customHeight="1" thickBot="1">
      <c r="B55" s="215"/>
      <c r="C55" s="2"/>
      <c r="D55" s="208"/>
      <c r="E55" s="208">
        <v>2909</v>
      </c>
      <c r="F55" s="535" t="s">
        <v>771</v>
      </c>
      <c r="G55" s="209">
        <v>1</v>
      </c>
      <c r="H55" s="209">
        <v>1</v>
      </c>
      <c r="I55" s="209"/>
      <c r="J55" s="209"/>
      <c r="K55" s="92"/>
    </row>
    <row r="56" spans="2:11" ht="35.25" customHeight="1" thickBot="1">
      <c r="B56" s="215"/>
      <c r="C56" s="2">
        <v>3</v>
      </c>
      <c r="D56" s="208" t="str">
        <f t="shared" ref="D56:F56" si="3">IF(ISBLANK(D47),"",D47)</f>
        <v>PMA</v>
      </c>
      <c r="E56" s="910" t="str">
        <f t="shared" si="3"/>
        <v>NA</v>
      </c>
      <c r="F56" s="535" t="str">
        <f t="shared" si="3"/>
        <v>Sistema de acuifero de Sabanalarga- Tubara</v>
      </c>
      <c r="G56" s="209">
        <v>0.7</v>
      </c>
      <c r="H56" s="209">
        <f>IFERROR(H47/H38,"N.A.")</f>
        <v>1</v>
      </c>
      <c r="I56" s="209" t="str">
        <f>IFERROR(I47/I38,"N.A.")</f>
        <v>N.A.</v>
      </c>
      <c r="J56" s="209" t="str">
        <f>IFERROR(J47/J38,"N.A.")</f>
        <v>N.A.</v>
      </c>
      <c r="K56" s="92"/>
    </row>
    <row r="57" spans="2:11" ht="14.1" customHeight="1">
      <c r="B57" s="215"/>
      <c r="C57" s="81"/>
      <c r="D57" s="2409"/>
      <c r="E57" s="2410"/>
      <c r="F57" s="2410"/>
      <c r="G57" s="2410"/>
      <c r="H57" s="2410"/>
      <c r="I57" s="2410"/>
      <c r="J57" s="2410"/>
      <c r="K57" s="2411"/>
    </row>
    <row r="58" spans="2:11" ht="14.1" customHeight="1" thickBot="1">
      <c r="B58" s="215"/>
      <c r="C58" s="81"/>
      <c r="D58" s="2406" t="s">
        <v>795</v>
      </c>
      <c r="E58" s="2407"/>
      <c r="F58" s="2407"/>
      <c r="G58" s="2407"/>
      <c r="H58" s="2407"/>
      <c r="I58" s="2407"/>
      <c r="J58" s="2407"/>
      <c r="K58" s="2408"/>
    </row>
    <row r="59" spans="2:11" ht="14.1" customHeight="1" thickBot="1">
      <c r="B59" s="215"/>
      <c r="C59" s="210" t="s">
        <v>698</v>
      </c>
      <c r="D59" s="56" t="s">
        <v>796</v>
      </c>
      <c r="E59" s="56" t="s">
        <v>797</v>
      </c>
      <c r="F59" s="56"/>
      <c r="G59" s="56" t="s">
        <v>798</v>
      </c>
      <c r="H59" s="56" t="s">
        <v>1147</v>
      </c>
      <c r="I59" s="56" t="s">
        <v>594</v>
      </c>
      <c r="J59" s="56" t="s">
        <v>595</v>
      </c>
      <c r="K59" s="91"/>
    </row>
    <row r="60" spans="2:11" ht="14.1" customHeight="1" thickBot="1">
      <c r="B60" s="215"/>
      <c r="C60" s="78">
        <v>1</v>
      </c>
      <c r="D60" s="180" t="s">
        <v>799</v>
      </c>
      <c r="E60" s="26">
        <v>0.7</v>
      </c>
      <c r="F60" s="27"/>
      <c r="G60" s="402">
        <f ca="1">IFERROR(AVERAGEIF($D$53:$J$56,"POMCA",G$53:G$56),0)</f>
        <v>1</v>
      </c>
      <c r="H60" s="126">
        <f ca="1">IFERROR(AVERAGEIF($D$53:$J$56,"POMCA",H$53:H$56),0)</f>
        <v>1</v>
      </c>
      <c r="I60" s="126">
        <f ca="1">IFERROR(AVERAGEIF($D$53:$J$56,"POMCA",I$53:I$56),0)</f>
        <v>0</v>
      </c>
      <c r="J60" s="126">
        <f ca="1">IFERROR(AVERAGEIF($D$53:$J$56,"POMCA",J$53:J$56),0)</f>
        <v>0</v>
      </c>
      <c r="K60" s="89"/>
    </row>
    <row r="61" spans="2:11" ht="14.1" customHeight="1" thickBot="1">
      <c r="B61" s="215"/>
      <c r="C61" s="78">
        <v>2</v>
      </c>
      <c r="D61" s="180" t="s">
        <v>776</v>
      </c>
      <c r="E61" s="26">
        <v>0.3</v>
      </c>
      <c r="F61" s="27"/>
      <c r="G61" s="126">
        <v>0.7</v>
      </c>
      <c r="H61" s="126">
        <f ca="1">IFERROR(AVERAGEIF($D$53:$J$56,"PMA",H$53:H$56),0)</f>
        <v>1</v>
      </c>
      <c r="I61" s="126">
        <f ca="1">IFERROR(AVERAGEIF($D$53:$J$56,"PMA",I$53:I$56),0)</f>
        <v>0</v>
      </c>
      <c r="J61" s="126">
        <f ca="1">IFERROR(AVERAGEIF($D$53:$J$56,"PMA",J$53:J$56),0)</f>
        <v>0</v>
      </c>
      <c r="K61" s="89"/>
    </row>
    <row r="62" spans="2:11" ht="14.1" customHeight="1" thickBot="1">
      <c r="B62" s="215"/>
      <c r="C62" s="78">
        <v>3</v>
      </c>
      <c r="D62" s="180" t="s">
        <v>800</v>
      </c>
      <c r="E62" s="817"/>
      <c r="F62" s="27"/>
      <c r="G62" s="126">
        <f ca="1">IFERROR(AVERAGEIF($D$53:$J$56,"PMM",G$53:G$56),0)</f>
        <v>0</v>
      </c>
      <c r="H62" s="126">
        <f ca="1">IFERROR(AVERAGEIF($D$53:$J$56,"PMM",H$53:H$56),0)</f>
        <v>0</v>
      </c>
      <c r="I62" s="126">
        <f ca="1">IFERROR(AVERAGEIF($D$53:$J$56,"PMM",I$53:I$56),0)</f>
        <v>0</v>
      </c>
      <c r="J62" s="126">
        <f ca="1">IFERROR(AVERAGEIF($D$53:$J$56,"PMM",J$53:J$56),0)</f>
        <v>0</v>
      </c>
      <c r="K62" s="89"/>
    </row>
    <row r="63" spans="2:11" ht="14.1" customHeight="1" thickBot="1">
      <c r="B63" s="215"/>
      <c r="D63" s="2447">
        <f>Formulas!$D$5</f>
        <v>1</v>
      </c>
      <c r="E63" s="2448"/>
      <c r="F63" s="301" t="s">
        <v>801</v>
      </c>
      <c r="G63" s="403">
        <f ca="1">+SUMPRODUCT(G60:G62,E60:E62)</f>
        <v>0.90999999999999992</v>
      </c>
      <c r="H63" s="403">
        <v>1</v>
      </c>
      <c r="I63" s="149">
        <v>0</v>
      </c>
      <c r="J63" s="149" t="str">
        <f ca="1">Formulas!H5</f>
        <v>N.A.</v>
      </c>
      <c r="K63" s="90"/>
    </row>
    <row r="64" spans="2:11" ht="14.1" customHeight="1">
      <c r="B64" s="215"/>
      <c r="C64" s="81"/>
      <c r="D64" s="2449"/>
      <c r="E64" s="2450"/>
      <c r="F64" s="2450"/>
      <c r="G64" s="2450"/>
      <c r="H64" s="2450"/>
      <c r="I64" s="2450"/>
      <c r="J64" s="2450"/>
      <c r="K64" s="2451"/>
    </row>
    <row r="65" spans="2:11" ht="14.1" customHeight="1">
      <c r="B65" s="215"/>
      <c r="C65" s="81"/>
      <c r="D65" s="2403" t="s">
        <v>802</v>
      </c>
      <c r="E65" s="2404"/>
      <c r="F65" s="2404"/>
      <c r="G65" s="2404"/>
      <c r="H65" s="2404"/>
      <c r="I65" s="2404"/>
      <c r="J65" s="2404"/>
      <c r="K65" s="2405"/>
    </row>
    <row r="66" spans="2:11" ht="14.1" customHeight="1" thickBot="1">
      <c r="B66" s="60"/>
      <c r="C66" s="85"/>
      <c r="D66" s="194"/>
      <c r="E66" s="102"/>
      <c r="F66" s="102"/>
      <c r="G66" s="102"/>
      <c r="H66" s="102"/>
      <c r="I66" s="102"/>
      <c r="J66" s="102"/>
      <c r="K66" s="32"/>
    </row>
    <row r="67" spans="2:11" ht="14.1" customHeight="1" thickBot="1">
      <c r="B67" s="60" t="s">
        <v>803</v>
      </c>
      <c r="C67" s="85"/>
      <c r="D67" s="2424" t="s">
        <v>804</v>
      </c>
      <c r="E67" s="2425"/>
      <c r="F67" s="2425"/>
      <c r="G67" s="2425"/>
      <c r="H67" s="2425"/>
      <c r="I67" s="2425"/>
      <c r="J67" s="2425"/>
      <c r="K67" s="2426"/>
    </row>
    <row r="68" spans="2:11" ht="39" customHeight="1" thickBot="1">
      <c r="B68" s="60" t="s">
        <v>805</v>
      </c>
      <c r="C68" s="85"/>
      <c r="D68" s="2424" t="s">
        <v>806</v>
      </c>
      <c r="E68" s="2425"/>
      <c r="F68" s="2425"/>
      <c r="G68" s="2425"/>
      <c r="H68" s="2425"/>
      <c r="I68" s="2425"/>
      <c r="J68" s="2425"/>
      <c r="K68" s="2426"/>
    </row>
    <row r="69" spans="2:11" ht="15" thickBot="1">
      <c r="B69" s="1"/>
      <c r="C69" s="63"/>
      <c r="D69" s="5"/>
      <c r="E69" s="5"/>
      <c r="F69" s="5"/>
      <c r="G69" s="5"/>
      <c r="H69" s="5"/>
      <c r="I69" s="5"/>
      <c r="J69" s="5"/>
      <c r="K69" s="5"/>
    </row>
    <row r="70" spans="2:11" ht="24" customHeight="1" thickBot="1">
      <c r="B70" s="2431" t="s">
        <v>807</v>
      </c>
      <c r="C70" s="2432"/>
      <c r="D70" s="2432"/>
      <c r="E70" s="2433"/>
      <c r="F70" s="5"/>
      <c r="G70" s="5"/>
      <c r="H70" s="5"/>
      <c r="I70" s="5"/>
      <c r="J70" s="5"/>
      <c r="K70" s="5"/>
    </row>
    <row r="71" spans="2:11" ht="15" thickBot="1">
      <c r="B71" s="2421">
        <v>1</v>
      </c>
      <c r="C71" s="72"/>
      <c r="D71" s="38" t="s">
        <v>808</v>
      </c>
      <c r="E71" s="131" t="s">
        <v>809</v>
      </c>
      <c r="F71" s="5"/>
      <c r="G71" s="5"/>
      <c r="H71" s="5"/>
      <c r="I71" s="5"/>
      <c r="J71" s="5"/>
      <c r="K71" s="5"/>
    </row>
    <row r="72" spans="2:11" ht="24.6" thickBot="1">
      <c r="B72" s="2422"/>
      <c r="C72" s="72"/>
      <c r="D72" s="32" t="s">
        <v>528</v>
      </c>
      <c r="E72" s="273" t="s">
        <v>810</v>
      </c>
      <c r="F72" s="5"/>
      <c r="G72" s="5"/>
      <c r="H72" s="5"/>
      <c r="I72" s="5"/>
      <c r="J72" s="5"/>
      <c r="K72" s="5"/>
    </row>
    <row r="73" spans="2:11" ht="15" thickBot="1">
      <c r="B73" s="2422"/>
      <c r="C73" s="72"/>
      <c r="D73" s="32" t="s">
        <v>811</v>
      </c>
      <c r="E73" s="131" t="s">
        <v>812</v>
      </c>
      <c r="F73" s="5"/>
      <c r="G73" s="5"/>
      <c r="H73" s="5"/>
      <c r="I73" s="5"/>
      <c r="J73" s="5"/>
      <c r="K73" s="5"/>
    </row>
    <row r="74" spans="2:11" ht="29.25" customHeight="1" thickBot="1">
      <c r="B74" s="2422"/>
      <c r="C74" s="72"/>
      <c r="D74" s="32" t="s">
        <v>531</v>
      </c>
      <c r="E74" s="273" t="s">
        <v>813</v>
      </c>
      <c r="F74" s="5"/>
      <c r="G74" s="5" t="s">
        <v>618</v>
      </c>
      <c r="H74" s="5"/>
      <c r="I74" s="5"/>
      <c r="J74" s="5"/>
      <c r="K74" s="5"/>
    </row>
    <row r="75" spans="2:11" ht="29.4" thickBot="1">
      <c r="B75" s="2422"/>
      <c r="C75" s="72"/>
      <c r="D75" s="32" t="s">
        <v>534</v>
      </c>
      <c r="E75" s="435" t="s">
        <v>814</v>
      </c>
      <c r="F75" s="5"/>
      <c r="G75" s="5"/>
      <c r="H75" s="5"/>
      <c r="I75" s="5"/>
      <c r="J75" s="5"/>
      <c r="K75" s="5"/>
    </row>
    <row r="76" spans="2:11" ht="15" thickBot="1">
      <c r="B76" s="2422"/>
      <c r="C76" s="72"/>
      <c r="D76" s="32" t="s">
        <v>537</v>
      </c>
      <c r="E76" s="131">
        <v>3686626</v>
      </c>
      <c r="F76" s="5"/>
      <c r="G76" s="5"/>
      <c r="H76" s="5"/>
      <c r="I76" s="5"/>
      <c r="J76" s="5"/>
      <c r="K76" s="5"/>
    </row>
    <row r="77" spans="2:11" ht="15" thickBot="1">
      <c r="B77" s="2423"/>
      <c r="C77" s="2"/>
      <c r="D77" s="32" t="s">
        <v>815</v>
      </c>
      <c r="E77" s="273" t="s">
        <v>816</v>
      </c>
      <c r="F77" s="5"/>
      <c r="G77" s="5"/>
      <c r="H77" s="5"/>
      <c r="I77" s="5"/>
      <c r="J77" s="5"/>
      <c r="K77" s="5"/>
    </row>
    <row r="78" spans="2:11" ht="15" thickBot="1">
      <c r="B78" s="1"/>
      <c r="C78" s="63"/>
      <c r="D78" s="5"/>
      <c r="E78" s="5"/>
      <c r="F78" s="5"/>
      <c r="G78" s="5"/>
      <c r="H78" s="5"/>
      <c r="I78" s="5"/>
      <c r="J78" s="5"/>
      <c r="K78" s="5"/>
    </row>
    <row r="79" spans="2:11" ht="15" customHeight="1" thickBot="1">
      <c r="B79" s="2431" t="s">
        <v>817</v>
      </c>
      <c r="C79" s="2432"/>
      <c r="D79" s="2432"/>
      <c r="E79" s="2433"/>
      <c r="F79" s="5"/>
      <c r="G79" s="5"/>
      <c r="H79" s="5"/>
      <c r="I79" s="5"/>
      <c r="J79" s="5"/>
      <c r="K79" s="5"/>
    </row>
    <row r="80" spans="2:11" ht="36.6" thickBot="1">
      <c r="B80" s="2421">
        <v>1</v>
      </c>
      <c r="C80" s="72"/>
      <c r="D80" s="38" t="s">
        <v>808</v>
      </c>
      <c r="E80" s="660" t="s">
        <v>818</v>
      </c>
      <c r="F80" s="5"/>
      <c r="G80" s="5"/>
      <c r="H80" s="5"/>
      <c r="I80" s="5"/>
      <c r="J80" s="5"/>
      <c r="K80" s="5"/>
    </row>
    <row r="81" spans="2:11" ht="72.599999999999994" thickBot="1">
      <c r="B81" s="2422"/>
      <c r="C81" s="72"/>
      <c r="D81" s="32" t="s">
        <v>528</v>
      </c>
      <c r="E81" s="660" t="s">
        <v>819</v>
      </c>
      <c r="F81" s="5"/>
      <c r="G81" s="5"/>
      <c r="H81" s="5"/>
      <c r="I81" s="5"/>
      <c r="J81" s="5"/>
      <c r="K81" s="5"/>
    </row>
    <row r="82" spans="2:11" ht="15" thickBot="1">
      <c r="B82" s="2422"/>
      <c r="C82" s="72"/>
      <c r="D82" s="32" t="s">
        <v>811</v>
      </c>
      <c r="E82" s="136"/>
      <c r="F82" s="5"/>
      <c r="G82" s="5"/>
      <c r="H82" s="5"/>
      <c r="I82" s="5"/>
      <c r="J82" s="5"/>
      <c r="K82" s="5"/>
    </row>
    <row r="83" spans="2:11" ht="15" thickBot="1">
      <c r="B83" s="2422"/>
      <c r="C83" s="72"/>
      <c r="D83" s="32" t="s">
        <v>531</v>
      </c>
      <c r="E83" s="136"/>
      <c r="F83" s="5"/>
      <c r="G83" s="5"/>
      <c r="H83" s="5"/>
      <c r="I83" s="5"/>
      <c r="J83" s="5"/>
      <c r="K83" s="5"/>
    </row>
    <row r="84" spans="2:11" ht="15" thickBot="1">
      <c r="B84" s="2422"/>
      <c r="C84" s="72"/>
      <c r="D84" s="32" t="s">
        <v>534</v>
      </c>
      <c r="E84" s="136"/>
      <c r="F84" s="5"/>
      <c r="G84" s="5"/>
      <c r="H84" s="5"/>
      <c r="I84" s="5"/>
      <c r="J84" s="5"/>
      <c r="K84" s="5"/>
    </row>
    <row r="85" spans="2:11" ht="15" thickBot="1">
      <c r="B85" s="2422"/>
      <c r="C85" s="72"/>
      <c r="D85" s="32" t="s">
        <v>537</v>
      </c>
      <c r="E85" s="136"/>
      <c r="F85" s="5"/>
      <c r="G85" s="5"/>
      <c r="H85" s="5"/>
      <c r="I85" s="5"/>
      <c r="J85" s="5"/>
      <c r="K85" s="5"/>
    </row>
    <row r="86" spans="2:11" ht="15" thickBot="1">
      <c r="B86" s="2423"/>
      <c r="C86" s="2"/>
      <c r="D86" s="32" t="s">
        <v>815</v>
      </c>
      <c r="E86" s="136"/>
      <c r="F86" s="5"/>
      <c r="G86" s="5"/>
      <c r="H86" s="5"/>
      <c r="I86" s="5"/>
      <c r="J86" s="5"/>
      <c r="K86" s="5"/>
    </row>
    <row r="87" spans="2:11" ht="15" thickBot="1">
      <c r="B87" s="1"/>
      <c r="C87" s="63"/>
      <c r="D87" s="5"/>
      <c r="E87" s="5"/>
      <c r="F87" s="5"/>
      <c r="G87" s="5"/>
      <c r="H87" s="5"/>
      <c r="I87" s="5"/>
      <c r="J87" s="5"/>
      <c r="K87" s="5"/>
    </row>
    <row r="88" spans="2:11" ht="15" customHeight="1" thickBot="1">
      <c r="B88" s="96" t="s">
        <v>820</v>
      </c>
      <c r="C88" s="97"/>
      <c r="D88" s="97"/>
      <c r="E88" s="211"/>
      <c r="G88" s="5"/>
      <c r="H88" s="5"/>
      <c r="I88" s="5"/>
      <c r="J88" s="5"/>
      <c r="K88" s="5"/>
    </row>
    <row r="89" spans="2:11" ht="24.6" thickBot="1">
      <c r="B89" s="37" t="s">
        <v>821</v>
      </c>
      <c r="C89" s="32" t="s">
        <v>822</v>
      </c>
      <c r="D89" s="102" t="s">
        <v>823</v>
      </c>
      <c r="E89" s="42" t="s">
        <v>824</v>
      </c>
      <c r="F89" s="5"/>
      <c r="G89" s="5"/>
      <c r="H89" s="5"/>
      <c r="I89" s="5"/>
      <c r="J89" s="5"/>
    </row>
    <row r="90" spans="2:11" ht="108.6" thickBot="1">
      <c r="B90" s="39">
        <v>42401</v>
      </c>
      <c r="C90" s="32">
        <v>1</v>
      </c>
      <c r="D90" s="57" t="s">
        <v>825</v>
      </c>
      <c r="E90" s="32"/>
      <c r="F90" s="5"/>
      <c r="G90" s="5"/>
      <c r="H90" s="5"/>
      <c r="I90" s="5"/>
      <c r="J90" s="5"/>
    </row>
    <row r="91" spans="2:11" ht="15" thickBot="1">
      <c r="B91" s="3"/>
      <c r="C91" s="73"/>
      <c r="D91" s="5"/>
      <c r="E91" s="5"/>
      <c r="F91" s="5"/>
      <c r="G91" s="5"/>
      <c r="H91" s="5"/>
      <c r="I91" s="5"/>
      <c r="J91" s="5"/>
      <c r="K91" s="5"/>
    </row>
    <row r="92" spans="2:11" ht="15" thickBot="1">
      <c r="B92" s="105" t="s">
        <v>702</v>
      </c>
      <c r="C92" s="74"/>
      <c r="D92" s="5"/>
      <c r="E92" s="5"/>
      <c r="F92" s="5"/>
      <c r="G92" s="5"/>
      <c r="H92" s="5"/>
      <c r="I92" s="5"/>
      <c r="J92" s="5"/>
      <c r="K92" s="5"/>
    </row>
    <row r="93" spans="2:11">
      <c r="B93" s="2437"/>
      <c r="C93" s="2438"/>
      <c r="D93" s="2438"/>
      <c r="E93" s="2438"/>
      <c r="F93" s="2439"/>
      <c r="G93" s="5"/>
      <c r="H93" s="5"/>
      <c r="I93" s="5"/>
      <c r="J93" s="5"/>
      <c r="K93" s="5"/>
    </row>
    <row r="94" spans="2:11" ht="7.5" customHeight="1" thickBot="1">
      <c r="B94" s="2440"/>
      <c r="C94" s="2441"/>
      <c r="D94" s="2441"/>
      <c r="E94" s="2441"/>
      <c r="F94" s="2442"/>
      <c r="G94" s="5"/>
      <c r="H94" s="5"/>
      <c r="I94" s="5"/>
      <c r="J94" s="5"/>
      <c r="K94" s="5"/>
    </row>
    <row r="95" spans="2:11">
      <c r="B95" s="1"/>
      <c r="C95" s="63"/>
      <c r="D95" s="5"/>
      <c r="E95" s="5"/>
      <c r="F95" s="5"/>
      <c r="G95" s="5"/>
      <c r="H95" s="5"/>
      <c r="I95" s="5"/>
      <c r="J95" s="5"/>
      <c r="K95" s="5"/>
    </row>
    <row r="96" spans="2:11" ht="15" thickBot="1">
      <c r="B96" s="29"/>
      <c r="C96" s="66"/>
      <c r="D96" s="5"/>
      <c r="E96" s="5"/>
      <c r="F96" s="5"/>
      <c r="G96" s="5"/>
      <c r="H96" s="5"/>
      <c r="I96" s="5"/>
      <c r="J96" s="5"/>
      <c r="K96" s="5"/>
    </row>
    <row r="97" spans="2:11" ht="15" thickBot="1">
      <c r="B97" s="212" t="s">
        <v>826</v>
      </c>
      <c r="C97" s="75"/>
      <c r="D97" s="5"/>
      <c r="E97" s="5"/>
      <c r="F97" s="5"/>
      <c r="G97" s="5"/>
      <c r="H97" s="5"/>
      <c r="I97" s="5"/>
      <c r="J97" s="5"/>
      <c r="K97" s="5"/>
    </row>
    <row r="98" spans="2:11" ht="15" thickBot="1">
      <c r="B98" s="29"/>
      <c r="C98" s="66"/>
      <c r="D98" s="5"/>
      <c r="E98" s="5"/>
      <c r="F98" s="5"/>
      <c r="G98" s="5"/>
      <c r="H98" s="5"/>
      <c r="I98" s="5"/>
      <c r="J98" s="5"/>
      <c r="K98" s="5"/>
    </row>
    <row r="99" spans="2:11" ht="15" thickBot="1">
      <c r="B99" s="42" t="s">
        <v>827</v>
      </c>
      <c r="C99" s="181"/>
      <c r="D99" s="2424" t="s">
        <v>828</v>
      </c>
      <c r="E99" s="2425"/>
      <c r="F99" s="2426"/>
      <c r="G99" s="5"/>
      <c r="H99" s="5"/>
      <c r="I99" s="5"/>
      <c r="J99" s="5"/>
      <c r="K99" s="5"/>
    </row>
    <row r="100" spans="2:11">
      <c r="B100" s="2421" t="s">
        <v>829</v>
      </c>
      <c r="C100" s="67"/>
      <c r="D100" s="2409" t="s">
        <v>830</v>
      </c>
      <c r="E100" s="2410"/>
      <c r="F100" s="2411"/>
      <c r="G100" s="5"/>
      <c r="H100" s="5"/>
      <c r="I100" s="5"/>
      <c r="J100" s="5"/>
      <c r="K100" s="5"/>
    </row>
    <row r="101" spans="2:11">
      <c r="B101" s="2422"/>
      <c r="C101" s="70"/>
      <c r="D101" s="2403" t="s">
        <v>831</v>
      </c>
      <c r="E101" s="2404"/>
      <c r="F101" s="2405"/>
      <c r="G101" s="5"/>
      <c r="H101" s="5"/>
      <c r="I101" s="5"/>
      <c r="J101" s="5"/>
      <c r="K101" s="5"/>
    </row>
    <row r="102" spans="2:11">
      <c r="B102" s="2422"/>
      <c r="C102" s="70"/>
      <c r="D102" s="2403" t="s">
        <v>832</v>
      </c>
      <c r="E102" s="2404"/>
      <c r="F102" s="2405"/>
      <c r="G102" s="5"/>
      <c r="H102" s="5"/>
      <c r="I102" s="5"/>
      <c r="J102" s="5"/>
      <c r="K102" s="5"/>
    </row>
    <row r="103" spans="2:11">
      <c r="B103" s="2422"/>
      <c r="C103" s="70"/>
      <c r="D103" s="2415" t="s">
        <v>833</v>
      </c>
      <c r="E103" s="2416"/>
      <c r="F103" s="2417"/>
      <c r="G103" s="5"/>
      <c r="H103" s="5"/>
      <c r="I103" s="5"/>
      <c r="J103" s="5"/>
      <c r="K103" s="5"/>
    </row>
    <row r="104" spans="2:11">
      <c r="B104" s="2422"/>
      <c r="C104" s="70"/>
      <c r="D104" s="2403" t="s">
        <v>834</v>
      </c>
      <c r="E104" s="2404"/>
      <c r="F104" s="2405"/>
      <c r="G104" s="5"/>
      <c r="H104" s="5"/>
      <c r="I104" s="5"/>
      <c r="J104" s="5"/>
      <c r="K104" s="5"/>
    </row>
    <row r="105" spans="2:11">
      <c r="B105" s="2422"/>
      <c r="C105" s="70"/>
      <c r="D105" s="2403" t="s">
        <v>835</v>
      </c>
      <c r="E105" s="2404"/>
      <c r="F105" s="2405"/>
      <c r="G105" s="5"/>
      <c r="H105" s="5"/>
      <c r="I105" s="5"/>
      <c r="J105" s="5"/>
      <c r="K105" s="5"/>
    </row>
    <row r="106" spans="2:11">
      <c r="B106" s="2422"/>
      <c r="C106" s="70"/>
      <c r="D106" s="2403" t="s">
        <v>836</v>
      </c>
      <c r="E106" s="2404"/>
      <c r="F106" s="2405"/>
      <c r="G106" s="5"/>
      <c r="H106" s="5"/>
      <c r="I106" s="5"/>
      <c r="J106" s="5"/>
      <c r="K106" s="5"/>
    </row>
    <row r="107" spans="2:11">
      <c r="B107" s="2422"/>
      <c r="C107" s="70"/>
      <c r="D107" s="2403" t="s">
        <v>837</v>
      </c>
      <c r="E107" s="2404"/>
      <c r="F107" s="2405"/>
      <c r="G107" s="5"/>
      <c r="H107" s="5"/>
      <c r="I107" s="5"/>
      <c r="J107" s="5"/>
      <c r="K107" s="5"/>
    </row>
    <row r="108" spans="2:11">
      <c r="B108" s="2422"/>
      <c r="C108" s="70"/>
      <c r="D108" s="2415" t="s">
        <v>838</v>
      </c>
      <c r="E108" s="2416"/>
      <c r="F108" s="2417"/>
      <c r="G108" s="5"/>
      <c r="H108" s="5"/>
      <c r="I108" s="5"/>
      <c r="J108" s="5"/>
      <c r="K108" s="5"/>
    </row>
    <row r="109" spans="2:11">
      <c r="B109" s="2422"/>
      <c r="C109" s="70"/>
      <c r="D109" s="2403" t="s">
        <v>839</v>
      </c>
      <c r="E109" s="2404"/>
      <c r="F109" s="2405"/>
      <c r="G109" s="5"/>
      <c r="H109" s="5"/>
      <c r="I109" s="5"/>
      <c r="J109" s="5"/>
      <c r="K109" s="5"/>
    </row>
    <row r="110" spans="2:11">
      <c r="B110" s="2422"/>
      <c r="C110" s="70"/>
      <c r="D110" s="2403" t="s">
        <v>840</v>
      </c>
      <c r="E110" s="2404"/>
      <c r="F110" s="2405"/>
      <c r="G110" s="5"/>
      <c r="H110" s="5"/>
      <c r="I110" s="5"/>
      <c r="J110" s="5"/>
      <c r="K110" s="5"/>
    </row>
    <row r="111" spans="2:11" ht="15" thickBot="1">
      <c r="B111" s="2423"/>
      <c r="C111" s="71"/>
      <c r="D111" s="2434" t="s">
        <v>841</v>
      </c>
      <c r="E111" s="2435"/>
      <c r="F111" s="2436"/>
      <c r="G111" s="5"/>
      <c r="H111" s="5"/>
      <c r="I111" s="5"/>
      <c r="J111" s="5"/>
      <c r="K111" s="5"/>
    </row>
    <row r="112" spans="2:11" ht="24.6" thickBot="1">
      <c r="B112" s="37" t="s">
        <v>842</v>
      </c>
      <c r="C112" s="71"/>
      <c r="D112" s="2424"/>
      <c r="E112" s="2425"/>
      <c r="F112" s="2426"/>
      <c r="G112" s="5"/>
      <c r="H112" s="5"/>
      <c r="I112" s="5"/>
      <c r="J112" s="5"/>
      <c r="K112" s="5"/>
    </row>
    <row r="113" spans="2:11">
      <c r="B113" s="2421" t="s">
        <v>843</v>
      </c>
      <c r="C113" s="67"/>
      <c r="D113" s="2412" t="s">
        <v>844</v>
      </c>
      <c r="E113" s="2413"/>
      <c r="F113" s="2414"/>
      <c r="G113" s="5"/>
      <c r="H113" s="5"/>
      <c r="I113" s="5"/>
      <c r="J113" s="5"/>
      <c r="K113" s="5"/>
    </row>
    <row r="114" spans="2:11">
      <c r="B114" s="2422"/>
      <c r="C114" s="70"/>
      <c r="D114" s="2415" t="s">
        <v>845</v>
      </c>
      <c r="E114" s="2416"/>
      <c r="F114" s="2417"/>
      <c r="G114" s="5"/>
      <c r="H114" s="5"/>
      <c r="I114" s="5"/>
      <c r="J114" s="5"/>
      <c r="K114" s="5"/>
    </row>
    <row r="115" spans="2:11">
      <c r="B115" s="2422"/>
      <c r="C115" s="70"/>
      <c r="D115" s="2403" t="s">
        <v>846</v>
      </c>
      <c r="E115" s="2404"/>
      <c r="F115" s="2405"/>
      <c r="G115" s="5"/>
      <c r="H115" s="5"/>
      <c r="I115" s="5"/>
      <c r="J115" s="5"/>
      <c r="K115" s="5"/>
    </row>
    <row r="116" spans="2:11">
      <c r="B116" s="2422"/>
      <c r="C116" s="70"/>
      <c r="D116" s="2403" t="s">
        <v>847</v>
      </c>
      <c r="E116" s="2404"/>
      <c r="F116" s="2405"/>
      <c r="G116" s="5"/>
      <c r="H116" s="5"/>
      <c r="I116" s="5"/>
      <c r="J116" s="5"/>
      <c r="K116" s="5"/>
    </row>
    <row r="117" spans="2:11">
      <c r="B117" s="2422"/>
      <c r="C117" s="70"/>
      <c r="D117" s="2403" t="s">
        <v>848</v>
      </c>
      <c r="E117" s="2404"/>
      <c r="F117" s="2405"/>
      <c r="G117" s="5"/>
      <c r="H117" s="5"/>
      <c r="I117" s="5"/>
      <c r="J117" s="5"/>
      <c r="K117" s="5"/>
    </row>
    <row r="118" spans="2:11">
      <c r="B118" s="2422"/>
      <c r="C118" s="70"/>
      <c r="D118" s="2403" t="s">
        <v>849</v>
      </c>
      <c r="E118" s="2404"/>
      <c r="F118" s="2405"/>
      <c r="G118" s="5"/>
      <c r="H118" s="5"/>
      <c r="I118" s="5"/>
      <c r="J118" s="5"/>
      <c r="K118" s="5"/>
    </row>
    <row r="119" spans="2:11">
      <c r="B119" s="2422"/>
      <c r="C119" s="70"/>
      <c r="D119" s="2403" t="s">
        <v>850</v>
      </c>
      <c r="E119" s="2404"/>
      <c r="F119" s="2405"/>
      <c r="G119" s="5"/>
      <c r="H119" s="5"/>
      <c r="I119" s="5"/>
      <c r="J119" s="5"/>
      <c r="K119" s="5"/>
    </row>
    <row r="120" spans="2:11">
      <c r="B120" s="2422"/>
      <c r="C120" s="70"/>
      <c r="D120" s="2403" t="s">
        <v>851</v>
      </c>
      <c r="E120" s="2404"/>
      <c r="F120" s="2405"/>
      <c r="G120" s="5"/>
      <c r="H120" s="5"/>
      <c r="I120" s="5"/>
      <c r="J120" s="5"/>
      <c r="K120" s="5"/>
    </row>
    <row r="121" spans="2:11">
      <c r="B121" s="2422"/>
      <c r="C121" s="70"/>
      <c r="D121" s="2415" t="s">
        <v>852</v>
      </c>
      <c r="E121" s="2416"/>
      <c r="F121" s="2417"/>
      <c r="G121" s="5"/>
      <c r="H121" s="5"/>
      <c r="I121" s="5"/>
      <c r="J121" s="5"/>
      <c r="K121" s="5"/>
    </row>
    <row r="122" spans="2:11">
      <c r="B122" s="2422"/>
      <c r="C122" s="70"/>
      <c r="D122" s="2403" t="s">
        <v>853</v>
      </c>
      <c r="E122" s="2404"/>
      <c r="F122" s="2405"/>
      <c r="G122" s="5"/>
      <c r="H122" s="5"/>
      <c r="I122" s="5"/>
      <c r="J122" s="5"/>
      <c r="K122" s="5"/>
    </row>
    <row r="123" spans="2:11">
      <c r="B123" s="2422"/>
      <c r="C123" s="70"/>
      <c r="D123" s="2403" t="s">
        <v>854</v>
      </c>
      <c r="E123" s="2404"/>
      <c r="F123" s="2405"/>
      <c r="G123" s="5"/>
      <c r="H123" s="5"/>
      <c r="I123" s="5"/>
      <c r="J123" s="5"/>
      <c r="K123" s="5"/>
    </row>
    <row r="124" spans="2:11">
      <c r="B124" s="2422"/>
      <c r="C124" s="70"/>
      <c r="D124" s="2403" t="s">
        <v>855</v>
      </c>
      <c r="E124" s="2404"/>
      <c r="F124" s="2405"/>
      <c r="G124" s="5"/>
      <c r="H124" s="5"/>
      <c r="I124" s="5"/>
      <c r="J124" s="5"/>
      <c r="K124" s="5"/>
    </row>
    <row r="125" spans="2:11">
      <c r="B125" s="2422"/>
      <c r="C125" s="70"/>
      <c r="D125" s="2403" t="s">
        <v>856</v>
      </c>
      <c r="E125" s="2404"/>
      <c r="F125" s="2405"/>
      <c r="G125" s="5"/>
      <c r="H125" s="5"/>
      <c r="I125" s="5"/>
      <c r="J125" s="5"/>
      <c r="K125" s="5"/>
    </row>
    <row r="126" spans="2:11">
      <c r="B126" s="2422"/>
      <c r="C126" s="70"/>
      <c r="D126" s="2415" t="s">
        <v>857</v>
      </c>
      <c r="E126" s="2416"/>
      <c r="F126" s="2417"/>
      <c r="G126" s="5"/>
      <c r="H126" s="5"/>
      <c r="I126" s="5"/>
      <c r="J126" s="5"/>
      <c r="K126" s="5"/>
    </row>
    <row r="127" spans="2:11">
      <c r="B127" s="2422"/>
      <c r="C127" s="70"/>
      <c r="D127" s="2403" t="s">
        <v>858</v>
      </c>
      <c r="E127" s="2404"/>
      <c r="F127" s="2405"/>
      <c r="G127" s="5"/>
      <c r="H127" s="5"/>
      <c r="I127" s="5"/>
      <c r="J127" s="5"/>
      <c r="K127" s="5"/>
    </row>
    <row r="128" spans="2:11">
      <c r="B128" s="2422"/>
      <c r="C128" s="70"/>
      <c r="D128" s="2403" t="s">
        <v>854</v>
      </c>
      <c r="E128" s="2404"/>
      <c r="F128" s="2405"/>
      <c r="G128" s="5"/>
      <c r="H128" s="5"/>
      <c r="I128" s="5"/>
      <c r="J128" s="5"/>
      <c r="K128" s="5"/>
    </row>
    <row r="129" spans="2:11">
      <c r="B129" s="2422"/>
      <c r="C129" s="70"/>
      <c r="D129" s="2403" t="s">
        <v>855</v>
      </c>
      <c r="E129" s="2404"/>
      <c r="F129" s="2405"/>
      <c r="G129" s="5"/>
      <c r="H129" s="5"/>
      <c r="I129" s="5"/>
      <c r="J129" s="5"/>
      <c r="K129" s="5"/>
    </row>
    <row r="130" spans="2:11" ht="15" thickBot="1">
      <c r="B130" s="2423"/>
      <c r="C130" s="71"/>
      <c r="D130" s="2418" t="s">
        <v>859</v>
      </c>
      <c r="E130" s="2419"/>
      <c r="F130" s="2420"/>
      <c r="G130" s="5"/>
      <c r="H130" s="5"/>
      <c r="I130" s="5"/>
      <c r="J130" s="5"/>
      <c r="K130" s="5"/>
    </row>
    <row r="131" spans="2:11">
      <c r="B131" s="2421" t="s">
        <v>860</v>
      </c>
      <c r="C131" s="67"/>
      <c r="D131" s="2412"/>
      <c r="E131" s="2413"/>
      <c r="F131" s="2414"/>
      <c r="G131" s="5"/>
      <c r="H131" s="5"/>
      <c r="I131" s="5"/>
      <c r="J131" s="5"/>
      <c r="K131" s="5"/>
    </row>
    <row r="132" spans="2:11">
      <c r="B132" s="2422"/>
      <c r="C132" s="70"/>
      <c r="D132" s="2400"/>
      <c r="E132" s="2401"/>
      <c r="F132" s="2402"/>
      <c r="G132" s="5"/>
      <c r="H132" s="5"/>
      <c r="I132" s="5"/>
      <c r="J132" s="5"/>
      <c r="K132" s="5"/>
    </row>
    <row r="133" spans="2:11">
      <c r="B133" s="2422"/>
      <c r="C133" s="70"/>
      <c r="D133" s="2403" t="s">
        <v>861</v>
      </c>
      <c r="E133" s="2404"/>
      <c r="F133" s="2405"/>
      <c r="G133" s="5"/>
      <c r="H133" s="5"/>
      <c r="I133" s="5"/>
      <c r="J133" s="5"/>
      <c r="K133" s="5"/>
    </row>
    <row r="134" spans="2:11">
      <c r="B134" s="2422"/>
      <c r="C134" s="70"/>
      <c r="D134" s="2403" t="s">
        <v>862</v>
      </c>
      <c r="E134" s="2404"/>
      <c r="F134" s="2405"/>
      <c r="G134" s="5"/>
      <c r="H134" s="5"/>
      <c r="I134" s="5"/>
      <c r="J134" s="5"/>
      <c r="K134" s="5"/>
    </row>
    <row r="135" spans="2:11">
      <c r="B135" s="2422"/>
      <c r="C135" s="70"/>
      <c r="D135" s="2403" t="s">
        <v>863</v>
      </c>
      <c r="E135" s="2404"/>
      <c r="F135" s="2405"/>
      <c r="G135" s="5"/>
      <c r="H135" s="5"/>
      <c r="I135" s="5"/>
      <c r="J135" s="5"/>
      <c r="K135" s="5"/>
    </row>
    <row r="136" spans="2:11">
      <c r="B136" s="2422"/>
      <c r="C136" s="70"/>
      <c r="D136" s="2403" t="s">
        <v>864</v>
      </c>
      <c r="E136" s="2404"/>
      <c r="F136" s="2405"/>
      <c r="G136" s="5"/>
      <c r="H136" s="5"/>
      <c r="I136" s="5"/>
      <c r="J136" s="5"/>
      <c r="K136" s="5"/>
    </row>
    <row r="137" spans="2:11">
      <c r="B137" s="2422"/>
      <c r="C137" s="70"/>
      <c r="D137" s="2403" t="s">
        <v>865</v>
      </c>
      <c r="E137" s="2404"/>
      <c r="F137" s="2405"/>
      <c r="G137" s="5"/>
      <c r="H137" s="5"/>
      <c r="I137" s="5"/>
      <c r="J137" s="5"/>
      <c r="K137" s="5"/>
    </row>
    <row r="138" spans="2:11">
      <c r="B138" s="2422"/>
      <c r="C138" s="70"/>
      <c r="D138" s="2403" t="s">
        <v>866</v>
      </c>
      <c r="E138" s="2404"/>
      <c r="F138" s="2405"/>
      <c r="G138" s="5"/>
      <c r="H138" s="5"/>
      <c r="I138" s="5"/>
      <c r="J138" s="5"/>
      <c r="K138" s="5"/>
    </row>
    <row r="139" spans="2:11">
      <c r="B139" s="2422"/>
      <c r="C139" s="70"/>
      <c r="D139" s="2403" t="s">
        <v>867</v>
      </c>
      <c r="E139" s="2404"/>
      <c r="F139" s="2405"/>
      <c r="G139" s="5"/>
      <c r="H139" s="5"/>
      <c r="I139" s="5"/>
      <c r="J139" s="5"/>
      <c r="K139" s="5"/>
    </row>
    <row r="140" spans="2:11">
      <c r="B140" s="2422"/>
      <c r="C140" s="70"/>
      <c r="D140" s="2403" t="s">
        <v>868</v>
      </c>
      <c r="E140" s="2404"/>
      <c r="F140" s="2405"/>
      <c r="G140" s="5"/>
      <c r="H140" s="5"/>
      <c r="I140" s="5"/>
      <c r="J140" s="5"/>
      <c r="K140" s="5"/>
    </row>
    <row r="141" spans="2:11">
      <c r="B141" s="2422"/>
      <c r="C141" s="70"/>
      <c r="D141" s="2403" t="s">
        <v>869</v>
      </c>
      <c r="E141" s="2404"/>
      <c r="F141" s="2405"/>
      <c r="G141" s="5"/>
      <c r="H141" s="5"/>
      <c r="I141" s="5"/>
      <c r="J141" s="5"/>
      <c r="K141" s="5"/>
    </row>
    <row r="142" spans="2:11">
      <c r="B142" s="2422"/>
      <c r="C142" s="70"/>
      <c r="D142" s="2403" t="s">
        <v>870</v>
      </c>
      <c r="E142" s="2404"/>
      <c r="F142" s="2405"/>
      <c r="G142" s="5"/>
      <c r="H142" s="5"/>
      <c r="I142" s="5"/>
      <c r="J142" s="5"/>
      <c r="K142" s="5"/>
    </row>
    <row r="143" spans="2:11">
      <c r="B143" s="2422"/>
      <c r="C143" s="70"/>
      <c r="D143" s="2403" t="s">
        <v>871</v>
      </c>
      <c r="E143" s="2404"/>
      <c r="F143" s="2405"/>
      <c r="G143" s="5"/>
      <c r="H143" s="5"/>
      <c r="I143" s="5"/>
      <c r="J143" s="5"/>
      <c r="K143" s="5"/>
    </row>
    <row r="144" spans="2:11" ht="15" thickBot="1">
      <c r="B144" s="2422"/>
      <c r="C144" s="70"/>
      <c r="D144" s="2406" t="s">
        <v>872</v>
      </c>
      <c r="E144" s="2407"/>
      <c r="F144" s="2408"/>
      <c r="G144" s="5"/>
      <c r="H144" s="5"/>
      <c r="I144" s="5"/>
      <c r="J144" s="5"/>
      <c r="K144" s="5"/>
    </row>
    <row r="145" spans="2:11" ht="15" thickBot="1">
      <c r="B145" s="2422"/>
      <c r="C145" s="72"/>
      <c r="D145" s="34" t="s">
        <v>873</v>
      </c>
      <c r="E145" s="34" t="s">
        <v>874</v>
      </c>
      <c r="F145" s="34" t="s">
        <v>875</v>
      </c>
      <c r="G145" s="5"/>
      <c r="H145" s="5"/>
      <c r="I145" s="5"/>
      <c r="J145" s="5"/>
      <c r="K145" s="5"/>
    </row>
    <row r="146" spans="2:11" ht="15" thickBot="1">
      <c r="B146" s="2422"/>
      <c r="C146" s="72"/>
      <c r="D146" s="32" t="s">
        <v>876</v>
      </c>
      <c r="E146" s="213">
        <v>0.15</v>
      </c>
      <c r="F146" s="213">
        <v>0.15</v>
      </c>
      <c r="G146" s="5"/>
      <c r="H146" s="5"/>
      <c r="I146" s="5"/>
      <c r="J146" s="5"/>
      <c r="K146" s="5"/>
    </row>
    <row r="147" spans="2:11" ht="15" thickBot="1">
      <c r="B147" s="2422"/>
      <c r="C147" s="72"/>
      <c r="D147" s="32" t="s">
        <v>877</v>
      </c>
      <c r="E147" s="213">
        <v>0.18</v>
      </c>
      <c r="F147" s="213">
        <v>0.33</v>
      </c>
      <c r="G147" s="5"/>
      <c r="H147" s="214"/>
      <c r="I147" s="5"/>
      <c r="J147" s="5"/>
      <c r="K147" s="5"/>
    </row>
    <row r="148" spans="2:11" ht="15" thickBot="1">
      <c r="B148" s="2422"/>
      <c r="C148" s="72"/>
      <c r="D148" s="32" t="s">
        <v>878</v>
      </c>
      <c r="E148" s="213">
        <v>0.33</v>
      </c>
      <c r="F148" s="213">
        <v>0.66</v>
      </c>
      <c r="G148" s="5"/>
      <c r="H148" s="214"/>
      <c r="I148" s="5"/>
      <c r="J148" s="5"/>
      <c r="K148" s="5"/>
    </row>
    <row r="149" spans="2:11" ht="24.6" thickBot="1">
      <c r="B149" s="2422"/>
      <c r="C149" s="72"/>
      <c r="D149" s="32" t="s">
        <v>879</v>
      </c>
      <c r="E149" s="213">
        <v>0.16</v>
      </c>
      <c r="F149" s="213">
        <v>0.82</v>
      </c>
      <c r="G149" s="5"/>
      <c r="H149" s="214"/>
      <c r="I149" s="5"/>
      <c r="J149" s="5"/>
      <c r="K149" s="5"/>
    </row>
    <row r="150" spans="2:11" ht="15" thickBot="1">
      <c r="B150" s="2422"/>
      <c r="C150" s="72"/>
      <c r="D150" s="32" t="s">
        <v>880</v>
      </c>
      <c r="E150" s="213">
        <v>0.18</v>
      </c>
      <c r="F150" s="213">
        <v>1</v>
      </c>
      <c r="G150" s="5"/>
      <c r="H150" s="214"/>
      <c r="I150" s="5"/>
      <c r="J150" s="5"/>
      <c r="K150" s="5"/>
    </row>
    <row r="151" spans="2:11">
      <c r="B151" s="2422"/>
      <c r="C151" s="70"/>
      <c r="D151" s="2409"/>
      <c r="E151" s="2410"/>
      <c r="F151" s="2411"/>
      <c r="G151" s="5"/>
      <c r="H151" s="5"/>
      <c r="I151" s="5"/>
      <c r="J151" s="5"/>
      <c r="K151" s="5"/>
    </row>
    <row r="152" spans="2:11" ht="15" thickBot="1">
      <c r="B152" s="2422"/>
      <c r="C152" s="70"/>
      <c r="D152" s="2406" t="s">
        <v>852</v>
      </c>
      <c r="E152" s="2407"/>
      <c r="F152" s="2408"/>
      <c r="G152" s="5"/>
      <c r="H152" s="5"/>
      <c r="I152" s="5"/>
      <c r="J152" s="5"/>
      <c r="K152" s="5"/>
    </row>
    <row r="153" spans="2:11" ht="15" thickBot="1">
      <c r="B153" s="2422"/>
      <c r="C153" s="72"/>
      <c r="D153" s="34" t="s">
        <v>873</v>
      </c>
      <c r="E153" s="34" t="s">
        <v>874</v>
      </c>
      <c r="F153" s="34" t="s">
        <v>875</v>
      </c>
      <c r="G153" s="5"/>
      <c r="H153" s="5"/>
      <c r="I153" s="5"/>
      <c r="J153" s="5"/>
      <c r="K153" s="5"/>
    </row>
    <row r="154" spans="2:11" ht="15" thickBot="1">
      <c r="B154" s="2422"/>
      <c r="C154" s="72"/>
      <c r="D154" s="32" t="s">
        <v>881</v>
      </c>
      <c r="E154" s="213">
        <v>0.2</v>
      </c>
      <c r="F154" s="213">
        <v>0.2</v>
      </c>
      <c r="G154" s="5"/>
      <c r="H154" s="5"/>
      <c r="I154" s="5"/>
      <c r="J154" s="5"/>
      <c r="K154" s="5"/>
    </row>
    <row r="155" spans="2:11" ht="15" thickBot="1">
      <c r="B155" s="2422"/>
      <c r="C155" s="72"/>
      <c r="D155" s="32" t="s">
        <v>882</v>
      </c>
      <c r="E155" s="213">
        <v>0.5</v>
      </c>
      <c r="F155" s="213">
        <v>0.7</v>
      </c>
      <c r="G155" s="5"/>
      <c r="H155" s="214"/>
      <c r="I155" s="5"/>
      <c r="J155" s="5"/>
      <c r="K155" s="5"/>
    </row>
    <row r="156" spans="2:11" ht="15" thickBot="1">
      <c r="B156" s="2422"/>
      <c r="C156" s="72"/>
      <c r="D156" s="32" t="s">
        <v>883</v>
      </c>
      <c r="E156" s="213">
        <v>0.3</v>
      </c>
      <c r="F156" s="213">
        <v>1</v>
      </c>
      <c r="G156" s="5"/>
      <c r="H156" s="214"/>
      <c r="I156" s="5"/>
      <c r="J156" s="5"/>
      <c r="K156" s="5"/>
    </row>
    <row r="157" spans="2:11">
      <c r="B157" s="2422"/>
      <c r="C157" s="70"/>
      <c r="D157" s="2412"/>
      <c r="E157" s="2413"/>
      <c r="F157" s="2414"/>
      <c r="G157" s="5"/>
      <c r="H157" s="214"/>
      <c r="I157" s="5"/>
      <c r="J157" s="5"/>
      <c r="K157" s="5"/>
    </row>
    <row r="158" spans="2:11" ht="15" thickBot="1">
      <c r="B158" s="2422"/>
      <c r="C158" s="70"/>
      <c r="D158" s="2406" t="s">
        <v>884</v>
      </c>
      <c r="E158" s="2407"/>
      <c r="F158" s="2408"/>
      <c r="G158" s="5"/>
      <c r="H158" s="214"/>
      <c r="I158" s="5"/>
      <c r="J158" s="5"/>
      <c r="K158" s="5"/>
    </row>
    <row r="159" spans="2:11" ht="15" thickBot="1">
      <c r="B159" s="2422"/>
      <c r="C159" s="72"/>
      <c r="D159" s="34" t="s">
        <v>873</v>
      </c>
      <c r="E159" s="34" t="s">
        <v>874</v>
      </c>
      <c r="F159" s="34" t="s">
        <v>875</v>
      </c>
      <c r="G159" s="5"/>
      <c r="H159" s="5"/>
      <c r="I159" s="5"/>
      <c r="J159" s="5"/>
      <c r="K159" s="5"/>
    </row>
    <row r="160" spans="2:11" ht="15" thickBot="1">
      <c r="B160" s="2422"/>
      <c r="C160" s="72"/>
      <c r="D160" s="32" t="s">
        <v>885</v>
      </c>
      <c r="E160" s="213">
        <v>0.2</v>
      </c>
      <c r="F160" s="213">
        <v>0.2</v>
      </c>
      <c r="G160" s="5"/>
      <c r="H160" s="214"/>
      <c r="I160" s="5"/>
      <c r="J160" s="5"/>
      <c r="K160" s="5"/>
    </row>
    <row r="161" spans="2:11" ht="15" thickBot="1">
      <c r="B161" s="2422"/>
      <c r="C161" s="72"/>
      <c r="D161" s="32" t="s">
        <v>882</v>
      </c>
      <c r="E161" s="213">
        <v>0.5</v>
      </c>
      <c r="F161" s="213">
        <v>0.7</v>
      </c>
      <c r="G161" s="5"/>
      <c r="H161" s="214"/>
      <c r="I161" s="5"/>
      <c r="J161" s="5"/>
      <c r="K161" s="5"/>
    </row>
    <row r="162" spans="2:11" ht="15" thickBot="1">
      <c r="B162" s="2422"/>
      <c r="C162" s="72"/>
      <c r="D162" s="32" t="s">
        <v>883</v>
      </c>
      <c r="E162" s="213">
        <v>0.3</v>
      </c>
      <c r="F162" s="213">
        <v>1</v>
      </c>
      <c r="G162" s="5"/>
      <c r="H162" s="214"/>
      <c r="I162" s="5"/>
      <c r="J162" s="5"/>
      <c r="K162" s="5"/>
    </row>
    <row r="163" spans="2:11">
      <c r="B163" s="2422"/>
      <c r="C163" s="70"/>
      <c r="D163" s="2412"/>
      <c r="E163" s="2413"/>
      <c r="F163" s="2414"/>
      <c r="G163" s="5"/>
      <c r="H163" s="5"/>
      <c r="I163" s="5"/>
      <c r="J163" s="5"/>
      <c r="K163" s="5"/>
    </row>
    <row r="164" spans="2:11">
      <c r="B164" s="2422"/>
      <c r="C164" s="70"/>
      <c r="D164" s="2415" t="s">
        <v>886</v>
      </c>
      <c r="E164" s="2416"/>
      <c r="F164" s="2417"/>
      <c r="G164" s="5"/>
      <c r="H164" s="5"/>
      <c r="I164" s="5"/>
      <c r="J164" s="5"/>
      <c r="K164" s="5"/>
    </row>
    <row r="165" spans="2:11">
      <c r="B165" s="2422"/>
      <c r="C165" s="70"/>
      <c r="D165" s="2403" t="s">
        <v>887</v>
      </c>
      <c r="E165" s="2404"/>
      <c r="F165" s="2405"/>
      <c r="G165" s="5"/>
      <c r="H165" s="5"/>
      <c r="I165" s="5"/>
      <c r="J165" s="5"/>
      <c r="K165" s="5"/>
    </row>
    <row r="166" spans="2:11">
      <c r="B166" s="2422"/>
      <c r="C166" s="70"/>
      <c r="D166" s="182"/>
      <c r="E166" s="106"/>
      <c r="F166" s="36"/>
      <c r="G166" s="5"/>
      <c r="H166" s="5"/>
      <c r="I166" s="5"/>
      <c r="J166" s="5"/>
      <c r="K166" s="5"/>
    </row>
    <row r="167" spans="2:11">
      <c r="B167" s="2422"/>
      <c r="C167" s="70"/>
      <c r="D167" s="2403" t="s">
        <v>888</v>
      </c>
      <c r="E167" s="2404"/>
      <c r="F167" s="2405"/>
      <c r="G167" s="5"/>
      <c r="H167" s="5"/>
      <c r="I167" s="5"/>
      <c r="J167" s="5"/>
      <c r="K167" s="5"/>
    </row>
    <row r="168" spans="2:11">
      <c r="B168" s="2422"/>
      <c r="C168" s="70"/>
      <c r="D168" s="2403" t="s">
        <v>889</v>
      </c>
      <c r="E168" s="2404"/>
      <c r="F168" s="2405"/>
      <c r="G168" s="5"/>
      <c r="H168" s="5"/>
      <c r="I168" s="5"/>
      <c r="J168" s="5"/>
      <c r="K168" s="5"/>
    </row>
    <row r="169" spans="2:11">
      <c r="B169" s="2422"/>
      <c r="C169" s="70"/>
      <c r="D169" s="2403" t="s">
        <v>890</v>
      </c>
      <c r="E169" s="2404"/>
      <c r="F169" s="2405"/>
      <c r="G169" s="5"/>
      <c r="H169" s="5"/>
      <c r="I169" s="5"/>
      <c r="J169" s="5"/>
      <c r="K169" s="5"/>
    </row>
    <row r="170" spans="2:11">
      <c r="B170" s="2422"/>
      <c r="C170" s="70"/>
      <c r="D170" s="2403" t="s">
        <v>891</v>
      </c>
      <c r="E170" s="2404"/>
      <c r="F170" s="2405"/>
      <c r="G170" s="5"/>
      <c r="H170" s="5"/>
      <c r="I170" s="5"/>
      <c r="J170" s="5"/>
      <c r="K170" s="5"/>
    </row>
    <row r="171" spans="2:11">
      <c r="B171" s="2422"/>
      <c r="C171" s="70"/>
      <c r="D171" s="182"/>
      <c r="E171" s="106"/>
      <c r="F171" s="36"/>
      <c r="G171" s="5"/>
      <c r="H171" s="5"/>
      <c r="I171" s="5"/>
      <c r="J171" s="5"/>
      <c r="K171" s="5"/>
    </row>
    <row r="172" spans="2:11">
      <c r="B172" s="2422"/>
      <c r="C172" s="70"/>
      <c r="D172" s="2415" t="s">
        <v>892</v>
      </c>
      <c r="E172" s="2416"/>
      <c r="F172" s="2417"/>
      <c r="G172" s="5"/>
      <c r="H172" s="5"/>
      <c r="I172" s="5"/>
      <c r="J172" s="5"/>
      <c r="K172" s="5"/>
    </row>
    <row r="173" spans="2:11">
      <c r="B173" s="2422"/>
      <c r="C173" s="70"/>
      <c r="D173" s="2403" t="s">
        <v>893</v>
      </c>
      <c r="E173" s="2404"/>
      <c r="F173" s="2405"/>
      <c r="G173" s="5"/>
      <c r="H173" s="5"/>
      <c r="I173" s="5"/>
      <c r="J173" s="5"/>
      <c r="K173" s="5"/>
    </row>
    <row r="174" spans="2:11" ht="32.1" customHeight="1">
      <c r="B174" s="2422"/>
      <c r="C174" s="70"/>
      <c r="D174" s="2400"/>
      <c r="E174" s="2401"/>
      <c r="F174" s="2402"/>
      <c r="G174" s="5"/>
      <c r="H174" s="5"/>
      <c r="I174" s="5"/>
      <c r="J174" s="5"/>
      <c r="K174" s="5"/>
    </row>
    <row r="175" spans="2:11">
      <c r="B175" s="2422"/>
      <c r="C175" s="70"/>
      <c r="D175" s="2403" t="s">
        <v>894</v>
      </c>
      <c r="E175" s="2404"/>
      <c r="F175" s="2405"/>
      <c r="G175" s="5"/>
      <c r="H175" s="5"/>
      <c r="I175" s="5"/>
      <c r="J175" s="5"/>
      <c r="K175" s="5"/>
    </row>
    <row r="176" spans="2:11">
      <c r="B176" s="2422"/>
      <c r="C176" s="70"/>
      <c r="D176" s="2403" t="s">
        <v>895</v>
      </c>
      <c r="E176" s="2404"/>
      <c r="F176" s="2405"/>
      <c r="G176" s="5"/>
      <c r="H176" s="5"/>
      <c r="I176" s="5"/>
      <c r="J176" s="5"/>
      <c r="K176" s="5"/>
    </row>
    <row r="177" spans="2:11">
      <c r="B177" s="2422"/>
      <c r="C177" s="70"/>
      <c r="D177" s="2403" t="s">
        <v>896</v>
      </c>
      <c r="E177" s="2404"/>
      <c r="F177" s="2405"/>
      <c r="G177" s="5"/>
      <c r="H177" s="5"/>
      <c r="I177" s="5"/>
      <c r="J177" s="5"/>
      <c r="K177" s="5"/>
    </row>
    <row r="178" spans="2:11" ht="15" thickBot="1">
      <c r="B178" s="2423"/>
      <c r="C178" s="71"/>
      <c r="D178" s="2418" t="s">
        <v>897</v>
      </c>
      <c r="E178" s="2419"/>
      <c r="F178" s="2420"/>
      <c r="G178" s="5"/>
      <c r="H178" s="5"/>
      <c r="I178" s="5"/>
      <c r="J178" s="5"/>
      <c r="K178" s="5"/>
    </row>
  </sheetData>
  <sheetProtection insertRows="0"/>
  <mergeCells count="107">
    <mergeCell ref="J24:K24"/>
    <mergeCell ref="J28:K28"/>
    <mergeCell ref="D63:E63"/>
    <mergeCell ref="D64:K64"/>
    <mergeCell ref="D65:K65"/>
    <mergeCell ref="D67:K67"/>
    <mergeCell ref="D68:K68"/>
    <mergeCell ref="B15:B21"/>
    <mergeCell ref="D58:K58"/>
    <mergeCell ref="D15:K15"/>
    <mergeCell ref="D22:K22"/>
    <mergeCell ref="D23:K23"/>
    <mergeCell ref="D29:K29"/>
    <mergeCell ref="D30:K30"/>
    <mergeCell ref="D31:K31"/>
    <mergeCell ref="D32:K32"/>
    <mergeCell ref="D33:K33"/>
    <mergeCell ref="D41:K41"/>
    <mergeCell ref="D42:K42"/>
    <mergeCell ref="D49:K49"/>
    <mergeCell ref="D50:K50"/>
    <mergeCell ref="D51:K51"/>
    <mergeCell ref="D57:K57"/>
    <mergeCell ref="J25:K25"/>
    <mergeCell ref="J26:K26"/>
    <mergeCell ref="J27:K27"/>
    <mergeCell ref="D99:F99"/>
    <mergeCell ref="B70:E70"/>
    <mergeCell ref="B71:B77"/>
    <mergeCell ref="B100:B111"/>
    <mergeCell ref="D100:F100"/>
    <mergeCell ref="D101:F101"/>
    <mergeCell ref="D102:F102"/>
    <mergeCell ref="D103:F103"/>
    <mergeCell ref="D104:F104"/>
    <mergeCell ref="D105:F105"/>
    <mergeCell ref="D106:F106"/>
    <mergeCell ref="D107:F107"/>
    <mergeCell ref="D108:F108"/>
    <mergeCell ref="D109:F109"/>
    <mergeCell ref="D110:F110"/>
    <mergeCell ref="D111:F111"/>
    <mergeCell ref="B79:E79"/>
    <mergeCell ref="B80:B86"/>
    <mergeCell ref="B93:F94"/>
    <mergeCell ref="D112:F112"/>
    <mergeCell ref="D128:F128"/>
    <mergeCell ref="D117:F117"/>
    <mergeCell ref="D118:F118"/>
    <mergeCell ref="D119:F119"/>
    <mergeCell ref="D120:F120"/>
    <mergeCell ref="D121:F121"/>
    <mergeCell ref="D122:F122"/>
    <mergeCell ref="D123:F123"/>
    <mergeCell ref="D124:F124"/>
    <mergeCell ref="D125:F125"/>
    <mergeCell ref="D126:F126"/>
    <mergeCell ref="D127:F127"/>
    <mergeCell ref="D138:F138"/>
    <mergeCell ref="D139:F139"/>
    <mergeCell ref="D140:F140"/>
    <mergeCell ref="D141:F141"/>
    <mergeCell ref="D142:F142"/>
    <mergeCell ref="D143:F143"/>
    <mergeCell ref="D129:F129"/>
    <mergeCell ref="D130:F130"/>
    <mergeCell ref="B131:B178"/>
    <mergeCell ref="D131:F131"/>
    <mergeCell ref="D132:F132"/>
    <mergeCell ref="D133:F133"/>
    <mergeCell ref="D134:F134"/>
    <mergeCell ref="D135:F135"/>
    <mergeCell ref="D136:F136"/>
    <mergeCell ref="D137:F137"/>
    <mergeCell ref="B113:B130"/>
    <mergeCell ref="D113:F113"/>
    <mergeCell ref="D114:F114"/>
    <mergeCell ref="D115:F115"/>
    <mergeCell ref="D116:F116"/>
    <mergeCell ref="D178:F178"/>
    <mergeCell ref="D172:F172"/>
    <mergeCell ref="D173:F173"/>
    <mergeCell ref="D174:F174"/>
    <mergeCell ref="D175:F175"/>
    <mergeCell ref="D176:F176"/>
    <mergeCell ref="D177:F177"/>
    <mergeCell ref="D170:F170"/>
    <mergeCell ref="D144:F144"/>
    <mergeCell ref="D151:F151"/>
    <mergeCell ref="D152:F152"/>
    <mergeCell ref="D157:F157"/>
    <mergeCell ref="D158:F158"/>
    <mergeCell ref="D163:F163"/>
    <mergeCell ref="D164:F164"/>
    <mergeCell ref="D165:F165"/>
    <mergeCell ref="D167:F167"/>
    <mergeCell ref="D168:F168"/>
    <mergeCell ref="D169:F169"/>
    <mergeCell ref="E12:K12"/>
    <mergeCell ref="A5:L5"/>
    <mergeCell ref="A1:L1"/>
    <mergeCell ref="A2:L2"/>
    <mergeCell ref="A3:L3"/>
    <mergeCell ref="A4:D4"/>
    <mergeCell ref="B10:D10"/>
    <mergeCell ref="F11:M11"/>
    <mergeCell ref="F10:M10"/>
  </mergeCells>
  <conditionalFormatting sqref="D63">
    <cfRule type="containsText" dxfId="127" priority="9" operator="containsText" text="ERROR">
      <formula>NOT(ISERROR(SEARCH("ERROR",D63)))</formula>
    </cfRule>
  </conditionalFormatting>
  <conditionalFormatting sqref="E12 L12">
    <cfRule type="expression" dxfId="126" priority="2">
      <formula>E11="SI SE REPORTA"</formula>
    </cfRule>
  </conditionalFormatting>
  <conditionalFormatting sqref="F10">
    <cfRule type="notContainsBlanks" dxfId="125" priority="8">
      <formula>LEN(TRIM(F10))&gt;0</formula>
    </cfRule>
  </conditionalFormatting>
  <conditionalFormatting sqref="F11:L11">
    <cfRule type="expression" dxfId="124" priority="5">
      <formula>E11="NO SE REPORTA"</formula>
    </cfRule>
    <cfRule type="expression" dxfId="123" priority="6">
      <formula>E10="NO APLICA"</formula>
    </cfRule>
  </conditionalFormatting>
  <conditionalFormatting sqref="M11">
    <cfRule type="expression" dxfId="122" priority="55">
      <formula>#REF!="NO SE REPORTA"</formula>
    </cfRule>
    <cfRule type="expression" dxfId="121" priority="56">
      <formula>#REF!="NO APLICA"</formula>
    </cfRule>
  </conditionalFormatting>
  <dataValidations count="7">
    <dataValidation type="decimal" allowBlank="1" showInputMessage="1" showErrorMessage="1" errorTitle="ERROR" error="Escriba un valor entre 0% y 100%" sqref="E60:F62 G35:J40 H48:J48 G44:G48 I44:J46 H44:H47" xr:uid="{00000000-0002-0000-0500-000000000000}">
      <formula1>0</formula1>
      <formula2>1</formula2>
    </dataValidation>
    <dataValidation type="whole" operator="greaterThanOrEqual" allowBlank="1" showErrorMessage="1" errorTitle="ERROR" error="Escriba un número igual o mayor que 0" promptTitle="ERROR" prompt="Escriba un número igual o mayor que 0" sqref="E16:E21" xr:uid="{00000000-0002-0000-0500-000001000000}">
      <formula1>0</formula1>
    </dataValidation>
    <dataValidation type="textLength" allowBlank="1" showInputMessage="1" showErrorMessage="1" errorTitle="ERROR" error="Escriba POMCA, PMM o PMA" promptTitle="ESCRIBA" prompt="POMCA, PMA o PMM" sqref="D25:D28 D35:D40" xr:uid="{00000000-0002-0000-0500-000002000000}">
      <formula1>1</formula1>
      <formula2>5</formula2>
    </dataValidation>
    <dataValidation type="list" allowBlank="1" showInputMessage="1" showErrorMessage="1" sqref="E10" xr:uid="{00000000-0002-0000-0500-000003000000}">
      <formula1>SI</formula1>
    </dataValidation>
    <dataValidation type="list" allowBlank="1" showInputMessage="1" showErrorMessage="1" sqref="E11" xr:uid="{00000000-0002-0000-0500-000004000000}">
      <formula1>REPORTE</formula1>
    </dataValidation>
    <dataValidation type="whole" operator="greaterThanOrEqual" allowBlank="1" showInputMessage="1" showErrorMessage="1" errorTitle="ERROR" error="Valor en HECTAREAS (sin decimales)_x000a_" sqref="G25:G28" xr:uid="{00000000-0002-0000-0500-000005000000}">
      <formula1>0</formula1>
    </dataValidation>
    <dataValidation allowBlank="1" showInputMessage="1" showErrorMessage="1" promptTitle="ESTADO" prompt="Procesos formales previos_x000a_Aprestamiento_x000a_Diagnóstico_x000a_Prospectiva y Zonificación Ambiental_x000a_Formulación_x000a_Aprobado" sqref="H25:H28" xr:uid="{00000000-0002-0000-0500-000006000000}"/>
  </dataValidations>
  <hyperlinks>
    <hyperlink ref="B9" location="'ANEXO 3'!A1" display="VOLVER AL INDICE" xr:uid="{00000000-0004-0000-0500-000000000000}"/>
    <hyperlink ref="E75" r:id="rId1" xr:uid="{00000000-0004-0000-0500-000001000000}"/>
  </hyperlinks>
  <pageMargins left="0.25" right="0.25" top="0.75" bottom="0.75" header="0.3" footer="0.3"/>
  <pageSetup paperSize="178" orientation="landscape" horizontalDpi="1200" verticalDpi="1200"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dimension ref="A1:S74"/>
  <sheetViews>
    <sheetView topLeftCell="A16" workbookViewId="0">
      <selection activeCell="D18" sqref="D18"/>
    </sheetView>
  </sheetViews>
  <sheetFormatPr baseColWidth="10" defaultColWidth="11.44140625" defaultRowHeight="14.4"/>
  <cols>
    <col min="1" max="1" width="1.88671875" style="306" customWidth="1"/>
    <col min="2" max="2" width="10.109375" style="306" customWidth="1"/>
    <col min="3" max="3" width="7" style="461" customWidth="1"/>
    <col min="4" max="4" width="32.109375" style="306" customWidth="1"/>
    <col min="5" max="5" width="11.109375" style="306" customWidth="1"/>
    <col min="6" max="8" width="11.44140625" style="306"/>
    <col min="9" max="9" width="11.44140625" style="461"/>
    <col min="10" max="16384" width="11.44140625" style="306"/>
  </cols>
  <sheetData>
    <row r="1" spans="1:19" s="304" customFormat="1" ht="100.5" customHeight="1" thickBot="1">
      <c r="A1" s="2384"/>
      <c r="B1" s="2385"/>
      <c r="C1" s="2385"/>
      <c r="D1" s="2385"/>
      <c r="E1" s="2385"/>
      <c r="F1" s="2385"/>
      <c r="G1" s="2385"/>
      <c r="H1" s="2385"/>
      <c r="I1" s="2385"/>
      <c r="J1" s="2385"/>
      <c r="K1" s="2385"/>
      <c r="L1" s="2385"/>
      <c r="M1" s="2385"/>
      <c r="N1" s="2385"/>
      <c r="O1" s="2385"/>
      <c r="P1" s="2386"/>
      <c r="Q1" s="306"/>
      <c r="R1" s="306"/>
    </row>
    <row r="2" spans="1:19" s="305" customFormat="1" ht="16.2" thickBot="1">
      <c r="A2" s="2381" t="str">
        <f>+'Datos Generales'!C5</f>
        <v>Corporación Autónoma Regional del Atlántico – CRA</v>
      </c>
      <c r="B2" s="2382"/>
      <c r="C2" s="2382"/>
      <c r="D2" s="2382"/>
      <c r="E2" s="2382"/>
      <c r="F2" s="2382"/>
      <c r="G2" s="2382"/>
      <c r="H2" s="2382"/>
      <c r="I2" s="2382"/>
      <c r="J2" s="2382"/>
      <c r="K2" s="2382"/>
      <c r="L2" s="2382"/>
      <c r="M2" s="2382"/>
      <c r="N2" s="2382"/>
      <c r="O2" s="2382"/>
      <c r="P2" s="2383"/>
      <c r="Q2" s="306"/>
      <c r="R2" s="306"/>
    </row>
    <row r="3" spans="1:19" s="305" customFormat="1" ht="16.2" thickBot="1">
      <c r="A3" s="2392" t="s">
        <v>696</v>
      </c>
      <c r="B3" s="2393"/>
      <c r="C3" s="2393"/>
      <c r="D3" s="2393"/>
      <c r="E3" s="2393"/>
      <c r="F3" s="2393"/>
      <c r="G3" s="2393"/>
      <c r="H3" s="2393"/>
      <c r="I3" s="2393"/>
      <c r="J3" s="2393"/>
      <c r="K3" s="2393"/>
      <c r="L3" s="2393"/>
      <c r="M3" s="2393"/>
      <c r="N3" s="2393"/>
      <c r="O3" s="2393"/>
      <c r="P3" s="2394"/>
      <c r="Q3" s="306"/>
      <c r="R3" s="306"/>
    </row>
    <row r="4" spans="1:19" s="305" customFormat="1" ht="16.2" thickBot="1">
      <c r="A4" s="2387" t="s">
        <v>697</v>
      </c>
      <c r="B4" s="2388"/>
      <c r="C4" s="2388"/>
      <c r="D4" s="2388"/>
      <c r="E4" s="312" t="str">
        <f>+'Datos Generales'!C6</f>
        <v>2025-II</v>
      </c>
      <c r="F4" s="312"/>
      <c r="G4" s="312"/>
      <c r="H4" s="312"/>
      <c r="I4" s="529"/>
      <c r="J4" s="312"/>
      <c r="K4" s="312"/>
      <c r="L4" s="313"/>
      <c r="M4" s="313"/>
      <c r="N4" s="313"/>
      <c r="O4" s="313"/>
      <c r="P4" s="314"/>
      <c r="Q4" s="306"/>
      <c r="R4" s="306"/>
    </row>
    <row r="5" spans="1:19" ht="16.5" customHeight="1" thickBot="1">
      <c r="A5" s="2392" t="s">
        <v>3</v>
      </c>
      <c r="B5" s="2393"/>
      <c r="C5" s="2393"/>
      <c r="D5" s="2393"/>
      <c r="E5" s="2393"/>
      <c r="F5" s="2393"/>
      <c r="G5" s="2393"/>
      <c r="H5" s="2393"/>
      <c r="I5" s="2393"/>
      <c r="J5" s="2393"/>
      <c r="K5" s="2393"/>
      <c r="L5" s="2393"/>
      <c r="M5" s="2393"/>
      <c r="N5" s="2393"/>
      <c r="O5" s="2393"/>
      <c r="P5" s="2394"/>
    </row>
    <row r="6" spans="1:19">
      <c r="B6" s="452" t="s">
        <v>736</v>
      </c>
      <c r="C6" s="453"/>
      <c r="E6" s="454"/>
      <c r="F6" s="306" t="s">
        <v>737</v>
      </c>
    </row>
    <row r="7" spans="1:19" ht="15" thickBot="1">
      <c r="B7" s="455"/>
      <c r="C7" s="453"/>
      <c r="E7" s="456"/>
      <c r="F7" s="306" t="s">
        <v>738</v>
      </c>
    </row>
    <row r="8" spans="1:19" ht="15" thickBot="1">
      <c r="B8" s="457" t="s">
        <v>739</v>
      </c>
      <c r="C8" s="753">
        <v>2025</v>
      </c>
      <c r="D8" s="458">
        <f>IF(E10="NO APLICA","NO APLICA",IF(E11="NO SE REPORTA","SIN INFORMACION",+F23))</f>
        <v>1</v>
      </c>
      <c r="E8" s="459"/>
      <c r="F8" s="306" t="s">
        <v>740</v>
      </c>
    </row>
    <row r="9" spans="1:19" ht="15" thickBot="1">
      <c r="B9" s="460" t="s">
        <v>741</v>
      </c>
      <c r="D9" s="462"/>
    </row>
    <row r="10" spans="1:19" ht="23.25" customHeight="1">
      <c r="B10" s="2487" t="s">
        <v>742</v>
      </c>
      <c r="C10" s="2487"/>
      <c r="D10" s="2487"/>
      <c r="E10" s="617" t="s">
        <v>743</v>
      </c>
      <c r="F10" s="248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489"/>
      <c r="H10" s="2489"/>
      <c r="I10" s="2489"/>
      <c r="J10" s="2489"/>
      <c r="K10" s="2489"/>
      <c r="L10" s="2489"/>
      <c r="M10" s="2489"/>
      <c r="N10" s="2489"/>
      <c r="O10" s="2489"/>
      <c r="P10" s="2489"/>
      <c r="Q10" s="2489"/>
      <c r="R10" s="2489"/>
      <c r="S10" s="2490"/>
    </row>
    <row r="11" spans="1:19" ht="39" customHeight="1" thickBot="1">
      <c r="B11" s="464"/>
      <c r="C11" s="465"/>
      <c r="D11" s="918" t="str">
        <f>IF(E10="SI APLICA","¿El indicador no se reporta por limitaciones de información disponible? ","")</f>
        <v xml:space="preserve">¿El indicador no se reporta por limitaciones de información disponible? </v>
      </c>
      <c r="E11" s="618" t="s">
        <v>744</v>
      </c>
      <c r="F11" s="2491" t="s">
        <v>899</v>
      </c>
      <c r="G11" s="2492"/>
      <c r="H11" s="2492"/>
      <c r="I11" s="2492"/>
      <c r="J11" s="2492"/>
      <c r="K11" s="2492"/>
      <c r="L11" s="2492"/>
      <c r="M11" s="2492"/>
      <c r="N11" s="2492"/>
      <c r="O11" s="2492"/>
      <c r="P11" s="2492"/>
      <c r="Q11" s="2492"/>
      <c r="R11" s="2492"/>
      <c r="S11" s="2493"/>
    </row>
    <row r="12" spans="1:19" ht="72.75" customHeight="1" thickBot="1">
      <c r="B12" s="460"/>
      <c r="C12" s="465"/>
      <c r="D12" s="832" t="str">
        <f>IF(E11="SI SE REPORTA","¿Qué programas o proyectos del Plan de Acción están asociados al indicador? ","")</f>
        <v xml:space="preserve">¿Qué programas o proyectos del Plan de Acción están asociados al indicador? </v>
      </c>
      <c r="E12" s="2389" t="s">
        <v>900</v>
      </c>
      <c r="F12" s="2390"/>
      <c r="G12" s="2390"/>
      <c r="H12" s="2390"/>
      <c r="I12" s="2390"/>
      <c r="J12" s="2390"/>
      <c r="K12" s="2390"/>
      <c r="L12" s="2390"/>
      <c r="M12" s="2390"/>
      <c r="N12" s="2390"/>
      <c r="O12" s="2390"/>
      <c r="P12" s="2390"/>
      <c r="Q12" s="2390"/>
      <c r="R12" s="2391"/>
      <c r="S12" s="470"/>
    </row>
    <row r="13" spans="1:19" ht="67.5" customHeight="1" thickBot="1">
      <c r="B13" s="460"/>
      <c r="C13" s="465"/>
      <c r="D13" s="457" t="s">
        <v>746</v>
      </c>
      <c r="E13" s="2494" t="s">
        <v>2106</v>
      </c>
      <c r="F13" s="2495"/>
      <c r="G13" s="2495"/>
      <c r="H13" s="2495"/>
      <c r="I13" s="2495"/>
      <c r="J13" s="2495"/>
      <c r="K13" s="2495"/>
      <c r="L13" s="2495"/>
      <c r="M13" s="2495"/>
      <c r="N13" s="2495"/>
      <c r="O13" s="2495"/>
      <c r="P13" s="2495"/>
      <c r="Q13" s="2495"/>
      <c r="R13" s="2496"/>
      <c r="S13" s="619"/>
    </row>
    <row r="14" spans="1:19" ht="18" customHeight="1" thickBot="1">
      <c r="B14" s="460"/>
      <c r="D14" s="462"/>
    </row>
    <row r="15" spans="1:19" ht="15" thickBot="1">
      <c r="B15" s="2458" t="s">
        <v>747</v>
      </c>
      <c r="C15" s="467"/>
      <c r="D15" s="2464" t="s">
        <v>748</v>
      </c>
      <c r="E15" s="2465"/>
      <c r="F15" s="2465"/>
      <c r="G15" s="2465"/>
      <c r="H15" s="2465"/>
      <c r="I15" s="2465"/>
      <c r="J15" s="2466"/>
    </row>
    <row r="16" spans="1:19" ht="54.75" customHeight="1" thickBot="1">
      <c r="B16" s="2459"/>
      <c r="C16" s="468"/>
      <c r="D16" s="469" t="s">
        <v>901</v>
      </c>
      <c r="E16" s="429">
        <v>17</v>
      </c>
      <c r="J16" s="470"/>
    </row>
    <row r="17" spans="2:10" ht="53.25" customHeight="1" thickBot="1">
      <c r="B17" s="2459"/>
      <c r="C17" s="468"/>
      <c r="D17" s="471" t="s">
        <v>2107</v>
      </c>
      <c r="E17" s="429">
        <v>8</v>
      </c>
      <c r="J17" s="470"/>
    </row>
    <row r="18" spans="2:10" ht="61.5" customHeight="1" thickBot="1">
      <c r="B18" s="2459"/>
      <c r="C18" s="468"/>
      <c r="D18" s="471" t="s">
        <v>902</v>
      </c>
      <c r="E18" s="429">
        <v>2</v>
      </c>
      <c r="F18" s="2473" t="s">
        <v>903</v>
      </c>
      <c r="G18" s="2474"/>
      <c r="J18" s="470"/>
    </row>
    <row r="19" spans="2:10" ht="15" thickBot="1">
      <c r="B19" s="2459"/>
      <c r="C19" s="472"/>
      <c r="D19" s="2467"/>
      <c r="E19" s="2468"/>
      <c r="F19" s="2468"/>
      <c r="G19" s="2468"/>
      <c r="H19" s="2468"/>
      <c r="I19" s="2468"/>
      <c r="J19" s="2469"/>
    </row>
    <row r="20" spans="2:10" ht="15" thickBot="1">
      <c r="B20" s="2459"/>
      <c r="C20" s="430" t="s">
        <v>698</v>
      </c>
      <c r="D20" s="469" t="s">
        <v>904</v>
      </c>
      <c r="E20" s="508" t="s">
        <v>794</v>
      </c>
      <c r="F20" s="473" t="s">
        <v>593</v>
      </c>
      <c r="G20" s="473" t="s">
        <v>594</v>
      </c>
      <c r="H20" s="473" t="s">
        <v>595</v>
      </c>
      <c r="I20" s="508" t="s">
        <v>905</v>
      </c>
      <c r="J20" s="474"/>
    </row>
    <row r="21" spans="2:10" ht="36.6" thickBot="1">
      <c r="B21" s="2459"/>
      <c r="C21" s="152" t="s">
        <v>906</v>
      </c>
      <c r="D21" s="471" t="s">
        <v>907</v>
      </c>
      <c r="E21" s="429">
        <v>0</v>
      </c>
      <c r="F21" s="429">
        <v>1</v>
      </c>
      <c r="G21" s="429">
        <v>1</v>
      </c>
      <c r="H21" s="429"/>
      <c r="I21" s="501"/>
      <c r="J21" s="434"/>
    </row>
    <row r="22" spans="2:10" ht="36.6" thickBot="1">
      <c r="B22" s="2459"/>
      <c r="C22" s="152" t="s">
        <v>908</v>
      </c>
      <c r="D22" s="471" t="s">
        <v>909</v>
      </c>
      <c r="E22" s="429">
        <v>0</v>
      </c>
      <c r="F22" s="429">
        <v>1</v>
      </c>
      <c r="G22" s="429"/>
      <c r="H22" s="429"/>
      <c r="I22" s="501"/>
      <c r="J22" s="434"/>
    </row>
    <row r="23" spans="2:10" ht="36.6" thickBot="1">
      <c r="B23" s="2460"/>
      <c r="C23" s="152" t="s">
        <v>910</v>
      </c>
      <c r="D23" s="471" t="s">
        <v>911</v>
      </c>
      <c r="E23" s="475" t="str">
        <f>IFERROR(E22/E21,"N.A.")</f>
        <v>N.A.</v>
      </c>
      <c r="F23" s="475">
        <f>IFERROR(F22/F21,"N.A.")</f>
        <v>1</v>
      </c>
      <c r="G23" s="475">
        <f>IFERROR(G22/G21,"N.A.")</f>
        <v>0</v>
      </c>
      <c r="H23" s="475">
        <f>IFERROR(IF(I22/I21&gt;=100%,100%, I22/I21),0)</f>
        <v>0</v>
      </c>
      <c r="I23" s="475" t="str">
        <f>IFERROR(I22/I21,"N.A.")</f>
        <v>N.A.</v>
      </c>
      <c r="J23" s="445"/>
    </row>
    <row r="24" spans="2:10" ht="45" customHeight="1" thickBot="1">
      <c r="B24" s="476" t="s">
        <v>803</v>
      </c>
      <c r="C24" s="477"/>
      <c r="D24" s="2470" t="s">
        <v>912</v>
      </c>
      <c r="E24" s="2471"/>
      <c r="F24" s="2471"/>
      <c r="G24" s="2471"/>
      <c r="H24" s="2471"/>
      <c r="I24" s="2471"/>
      <c r="J24" s="2472"/>
    </row>
    <row r="25" spans="2:10" ht="47.25" customHeight="1" thickBot="1">
      <c r="B25" s="476" t="s">
        <v>805</v>
      </c>
      <c r="C25" s="477"/>
      <c r="D25" s="2470" t="s">
        <v>913</v>
      </c>
      <c r="E25" s="2471"/>
      <c r="F25" s="2471"/>
      <c r="G25" s="2471"/>
      <c r="H25" s="2471"/>
      <c r="I25" s="2471"/>
      <c r="J25" s="2472"/>
    </row>
    <row r="26" spans="2:10" ht="15" thickBot="1">
      <c r="B26" s="452"/>
      <c r="C26" s="453"/>
    </row>
    <row r="27" spans="2:10" ht="24" customHeight="1" thickBot="1">
      <c r="B27" s="2461" t="s">
        <v>807</v>
      </c>
      <c r="C27" s="2462"/>
      <c r="D27" s="2462"/>
      <c r="E27" s="2463"/>
    </row>
    <row r="28" spans="2:10" ht="15" thickBot="1">
      <c r="B28" s="2458">
        <v>1</v>
      </c>
      <c r="C28" s="468"/>
      <c r="D28" s="478" t="s">
        <v>808</v>
      </c>
      <c r="E28" s="25" t="s">
        <v>809</v>
      </c>
    </row>
    <row r="29" spans="2:10" ht="36.6" thickBot="1">
      <c r="B29" s="2459"/>
      <c r="C29" s="468"/>
      <c r="D29" s="471" t="s">
        <v>528</v>
      </c>
      <c r="E29" s="24" t="s">
        <v>914</v>
      </c>
    </row>
    <row r="30" spans="2:10" ht="24.6" thickBot="1">
      <c r="B30" s="2459"/>
      <c r="C30" s="468"/>
      <c r="D30" s="471" t="s">
        <v>811</v>
      </c>
      <c r="E30" s="24" t="s">
        <v>915</v>
      </c>
    </row>
    <row r="31" spans="2:10" ht="36.6" thickBot="1">
      <c r="B31" s="2459"/>
      <c r="C31" s="468"/>
      <c r="D31" s="471" t="s">
        <v>531</v>
      </c>
      <c r="E31" s="24" t="s">
        <v>813</v>
      </c>
    </row>
    <row r="32" spans="2:10" ht="43.8" thickBot="1">
      <c r="B32" s="2459"/>
      <c r="C32" s="468"/>
      <c r="D32" s="471" t="s">
        <v>534</v>
      </c>
      <c r="E32" s="490" t="s">
        <v>814</v>
      </c>
    </row>
    <row r="33" spans="2:6" ht="15" thickBot="1">
      <c r="B33" s="2459"/>
      <c r="C33" s="468"/>
      <c r="D33" s="471" t="s">
        <v>537</v>
      </c>
      <c r="E33" s="273">
        <v>3686626</v>
      </c>
    </row>
    <row r="34" spans="2:6" ht="24.6" thickBot="1">
      <c r="B34" s="2460"/>
      <c r="C34" s="152"/>
      <c r="D34" s="471" t="s">
        <v>815</v>
      </c>
      <c r="E34" s="24" t="s">
        <v>816</v>
      </c>
    </row>
    <row r="35" spans="2:6" ht="15" thickBot="1">
      <c r="B35" s="452"/>
      <c r="C35" s="453"/>
    </row>
    <row r="36" spans="2:6" ht="15" thickBot="1">
      <c r="B36" s="2461" t="s">
        <v>817</v>
      </c>
      <c r="C36" s="2462"/>
      <c r="D36" s="2462"/>
      <c r="E36" s="2463"/>
    </row>
    <row r="37" spans="2:6" ht="44.25" customHeight="1" thickBot="1">
      <c r="B37" s="2458">
        <v>1</v>
      </c>
      <c r="C37" s="468"/>
      <c r="D37" s="478" t="s">
        <v>808</v>
      </c>
      <c r="E37" s="833" t="s">
        <v>818</v>
      </c>
    </row>
    <row r="38" spans="2:6" ht="48" customHeight="1" thickBot="1">
      <c r="B38" s="2459"/>
      <c r="C38" s="468"/>
      <c r="D38" s="471" t="s">
        <v>528</v>
      </c>
      <c r="E38" s="833" t="s">
        <v>916</v>
      </c>
    </row>
    <row r="39" spans="2:6" ht="15" thickBot="1">
      <c r="B39" s="2459"/>
      <c r="C39" s="468"/>
      <c r="D39" s="471" t="s">
        <v>811</v>
      </c>
      <c r="E39" s="479"/>
    </row>
    <row r="40" spans="2:6" ht="15" thickBot="1">
      <c r="B40" s="2459"/>
      <c r="C40" s="468"/>
      <c r="D40" s="471" t="s">
        <v>531</v>
      </c>
      <c r="E40" s="479"/>
    </row>
    <row r="41" spans="2:6" ht="15" thickBot="1">
      <c r="B41" s="2459"/>
      <c r="C41" s="468"/>
      <c r="D41" s="471" t="s">
        <v>534</v>
      </c>
      <c r="E41" s="479"/>
    </row>
    <row r="42" spans="2:6" ht="15" thickBot="1">
      <c r="B42" s="2459"/>
      <c r="C42" s="468"/>
      <c r="D42" s="471" t="s">
        <v>537</v>
      </c>
      <c r="E42" s="479"/>
    </row>
    <row r="43" spans="2:6" ht="15" thickBot="1">
      <c r="B43" s="2460"/>
      <c r="C43" s="152"/>
      <c r="D43" s="471" t="s">
        <v>815</v>
      </c>
      <c r="E43" s="479"/>
    </row>
    <row r="44" spans="2:6" ht="15" thickBot="1">
      <c r="B44" s="452"/>
      <c r="C44" s="453"/>
    </row>
    <row r="45" spans="2:6" ht="24.75" customHeight="1" thickBot="1">
      <c r="B45" s="480" t="s">
        <v>820</v>
      </c>
      <c r="C45" s="481"/>
      <c r="D45" s="481"/>
      <c r="E45" s="482"/>
      <c r="F45" s="834"/>
    </row>
    <row r="46" spans="2:6" ht="15" thickBot="1">
      <c r="B46" s="476" t="s">
        <v>821</v>
      </c>
      <c r="C46" s="483" t="s">
        <v>822</v>
      </c>
      <c r="D46" s="483" t="s">
        <v>823</v>
      </c>
      <c r="E46" s="483" t="s">
        <v>824</v>
      </c>
    </row>
    <row r="47" spans="2:6" ht="84.6" thickBot="1">
      <c r="B47" s="484">
        <v>42401</v>
      </c>
      <c r="C47" s="483">
        <v>0.01</v>
      </c>
      <c r="D47" s="485" t="s">
        <v>917</v>
      </c>
      <c r="E47" s="483"/>
    </row>
    <row r="48" spans="2:6" ht="15" thickBot="1">
      <c r="B48" s="452"/>
      <c r="C48" s="453"/>
    </row>
    <row r="49" spans="2:10" ht="24">
      <c r="B49" s="486" t="s">
        <v>702</v>
      </c>
      <c r="C49" s="487"/>
    </row>
    <row r="51" spans="2:10" ht="15" thickBot="1"/>
    <row r="52" spans="2:10" ht="15" thickBot="1">
      <c r="B52" s="2461" t="s">
        <v>826</v>
      </c>
      <c r="C52" s="2462"/>
      <c r="D52" s="2463"/>
    </row>
    <row r="53" spans="2:10" ht="15" thickBot="1">
      <c r="B53" s="452"/>
      <c r="C53" s="453"/>
    </row>
    <row r="54" spans="2:10" ht="24" customHeight="1" thickBot="1">
      <c r="B54" s="488" t="s">
        <v>827</v>
      </c>
      <c r="C54" s="489"/>
      <c r="D54" s="2470" t="s">
        <v>918</v>
      </c>
      <c r="E54" s="2471"/>
      <c r="F54" s="2471"/>
      <c r="G54" s="2471"/>
      <c r="H54" s="2471"/>
      <c r="I54" s="2471"/>
      <c r="J54" s="2472"/>
    </row>
    <row r="55" spans="2:10">
      <c r="B55" s="2458" t="s">
        <v>829</v>
      </c>
      <c r="C55" s="467"/>
      <c r="D55" s="2481" t="s">
        <v>830</v>
      </c>
      <c r="E55" s="2482"/>
      <c r="F55" s="2482"/>
      <c r="G55" s="2482"/>
      <c r="H55" s="2482"/>
      <c r="I55" s="2482"/>
      <c r="J55" s="2483"/>
    </row>
    <row r="56" spans="2:10" ht="24" customHeight="1">
      <c r="B56" s="2459"/>
      <c r="C56" s="472"/>
      <c r="D56" s="2478" t="s">
        <v>919</v>
      </c>
      <c r="E56" s="2479"/>
      <c r="F56" s="2479"/>
      <c r="G56" s="2479"/>
      <c r="H56" s="2479"/>
      <c r="I56" s="2479"/>
      <c r="J56" s="2480"/>
    </row>
    <row r="57" spans="2:10">
      <c r="B57" s="2459"/>
      <c r="C57" s="472"/>
      <c r="D57" s="2484" t="s">
        <v>920</v>
      </c>
      <c r="E57" s="2485"/>
      <c r="F57" s="2485"/>
      <c r="G57" s="2485"/>
      <c r="H57" s="2485"/>
      <c r="I57" s="2485"/>
      <c r="J57" s="2486"/>
    </row>
    <row r="58" spans="2:10">
      <c r="B58" s="2459"/>
      <c r="C58" s="472"/>
      <c r="D58" s="2478" t="s">
        <v>921</v>
      </c>
      <c r="E58" s="2479"/>
      <c r="F58" s="2479"/>
      <c r="G58" s="2479"/>
      <c r="H58" s="2479"/>
      <c r="I58" s="2479"/>
      <c r="J58" s="2480"/>
    </row>
    <row r="59" spans="2:10">
      <c r="B59" s="2459"/>
      <c r="C59" s="472"/>
      <c r="D59" s="2478" t="s">
        <v>922</v>
      </c>
      <c r="E59" s="2479"/>
      <c r="F59" s="2479"/>
      <c r="G59" s="2479"/>
      <c r="H59" s="2479"/>
      <c r="I59" s="2479"/>
      <c r="J59" s="2480"/>
    </row>
    <row r="60" spans="2:10">
      <c r="B60" s="2459"/>
      <c r="C60" s="472"/>
      <c r="D60" s="2478" t="s">
        <v>923</v>
      </c>
      <c r="E60" s="2479"/>
      <c r="F60" s="2479"/>
      <c r="G60" s="2479"/>
      <c r="H60" s="2479"/>
      <c r="I60" s="2479"/>
      <c r="J60" s="2480"/>
    </row>
    <row r="61" spans="2:10" ht="24" customHeight="1">
      <c r="B61" s="2459"/>
      <c r="C61" s="472"/>
      <c r="D61" s="2478" t="s">
        <v>924</v>
      </c>
      <c r="E61" s="2479"/>
      <c r="F61" s="2479"/>
      <c r="G61" s="2479"/>
      <c r="H61" s="2479"/>
      <c r="I61" s="2479"/>
      <c r="J61" s="2480"/>
    </row>
    <row r="62" spans="2:10" ht="24" customHeight="1">
      <c r="B62" s="2459"/>
      <c r="C62" s="472"/>
      <c r="D62" s="2478" t="s">
        <v>925</v>
      </c>
      <c r="E62" s="2479"/>
      <c r="F62" s="2479"/>
      <c r="G62" s="2479"/>
      <c r="H62" s="2479"/>
      <c r="I62" s="2479"/>
      <c r="J62" s="2480"/>
    </row>
    <row r="63" spans="2:10">
      <c r="B63" s="2459"/>
      <c r="C63" s="472"/>
      <c r="D63" s="2478" t="s">
        <v>926</v>
      </c>
      <c r="E63" s="2479"/>
      <c r="F63" s="2479"/>
      <c r="G63" s="2479"/>
      <c r="H63" s="2479"/>
      <c r="I63" s="2479"/>
      <c r="J63" s="2480"/>
    </row>
    <row r="64" spans="2:10">
      <c r="B64" s="2459"/>
      <c r="C64" s="472"/>
      <c r="D64" s="2484" t="s">
        <v>927</v>
      </c>
      <c r="E64" s="2485"/>
      <c r="F64" s="2485"/>
      <c r="G64" s="2485"/>
      <c r="H64" s="2485"/>
      <c r="I64" s="2485"/>
      <c r="J64" s="2486"/>
    </row>
    <row r="65" spans="2:10" ht="15" thickBot="1">
      <c r="B65" s="2460"/>
      <c r="C65" s="477"/>
      <c r="D65" s="2467" t="s">
        <v>928</v>
      </c>
      <c r="E65" s="2468"/>
      <c r="F65" s="2468"/>
      <c r="G65" s="2468"/>
      <c r="H65" s="2468"/>
      <c r="I65" s="2468"/>
      <c r="J65" s="2469"/>
    </row>
    <row r="66" spans="2:10" ht="24.6" thickBot="1">
      <c r="B66" s="476" t="s">
        <v>842</v>
      </c>
      <c r="C66" s="477"/>
      <c r="D66" s="2470"/>
      <c r="E66" s="2471"/>
      <c r="F66" s="2471"/>
      <c r="G66" s="2471"/>
      <c r="H66" s="2471"/>
      <c r="I66" s="2471"/>
      <c r="J66" s="2472"/>
    </row>
    <row r="67" spans="2:10" ht="24.6" thickBot="1">
      <c r="B67" s="476" t="s">
        <v>843</v>
      </c>
      <c r="C67" s="477"/>
      <c r="D67" s="2470" t="s">
        <v>929</v>
      </c>
      <c r="E67" s="2471"/>
      <c r="F67" s="2471"/>
      <c r="G67" s="2471"/>
      <c r="H67" s="2471"/>
      <c r="I67" s="2471"/>
      <c r="J67" s="2472"/>
    </row>
    <row r="68" spans="2:10">
      <c r="B68" s="2458" t="s">
        <v>860</v>
      </c>
      <c r="C68" s="467"/>
      <c r="D68" s="2464"/>
      <c r="E68" s="2465"/>
      <c r="F68" s="2465"/>
      <c r="G68" s="2465"/>
      <c r="H68" s="2465"/>
      <c r="I68" s="2465"/>
      <c r="J68" s="2466"/>
    </row>
    <row r="69" spans="2:10">
      <c r="B69" s="2459"/>
      <c r="C69" s="472"/>
      <c r="D69" s="2475"/>
      <c r="E69" s="2476"/>
      <c r="F69" s="2476"/>
      <c r="G69" s="2476"/>
      <c r="H69" s="2476"/>
      <c r="I69" s="2476"/>
      <c r="J69" s="2477"/>
    </row>
    <row r="70" spans="2:10">
      <c r="B70" s="2459"/>
      <c r="C70" s="472"/>
      <c r="D70" s="2478" t="s">
        <v>861</v>
      </c>
      <c r="E70" s="2479"/>
      <c r="F70" s="2479"/>
      <c r="G70" s="2479"/>
      <c r="H70" s="2479"/>
      <c r="I70" s="2479"/>
      <c r="J70" s="2480"/>
    </row>
    <row r="71" spans="2:10" ht="26.4" customHeight="1">
      <c r="B71" s="2459"/>
      <c r="C71" s="472"/>
      <c r="D71" s="2478" t="s">
        <v>930</v>
      </c>
      <c r="E71" s="2479"/>
      <c r="F71" s="2479"/>
      <c r="G71" s="2479"/>
      <c r="H71" s="2479"/>
      <c r="I71" s="2479"/>
      <c r="J71" s="2480"/>
    </row>
    <row r="72" spans="2:10" ht="14.4" customHeight="1">
      <c r="B72" s="2459"/>
      <c r="C72" s="472"/>
      <c r="D72" s="2478" t="s">
        <v>931</v>
      </c>
      <c r="E72" s="2479"/>
      <c r="F72" s="2479"/>
      <c r="G72" s="2479"/>
      <c r="H72" s="2479"/>
      <c r="I72" s="2479"/>
      <c r="J72" s="2480"/>
    </row>
    <row r="73" spans="2:10" ht="14.4" customHeight="1">
      <c r="B73" s="2459"/>
      <c r="C73" s="472"/>
      <c r="D73" s="2478" t="s">
        <v>932</v>
      </c>
      <c r="E73" s="2479"/>
      <c r="F73" s="2479"/>
      <c r="G73" s="2479"/>
      <c r="H73" s="2479"/>
      <c r="I73" s="2479"/>
      <c r="J73" s="2480"/>
    </row>
    <row r="74" spans="2:10" ht="24" customHeight="1" thickBot="1">
      <c r="B74" s="2460"/>
      <c r="C74" s="477"/>
      <c r="D74" s="2467" t="s">
        <v>933</v>
      </c>
      <c r="E74" s="2468"/>
      <c r="F74" s="2468"/>
      <c r="G74" s="2468"/>
      <c r="H74" s="2468"/>
      <c r="I74" s="2468"/>
      <c r="J74" s="2469"/>
    </row>
  </sheetData>
  <mergeCells count="44">
    <mergeCell ref="B10:D10"/>
    <mergeCell ref="F10:S10"/>
    <mergeCell ref="F11:S11"/>
    <mergeCell ref="E12:R12"/>
    <mergeCell ref="E13:R13"/>
    <mergeCell ref="B52:D52"/>
    <mergeCell ref="D54:J54"/>
    <mergeCell ref="B55:B65"/>
    <mergeCell ref="D55:J55"/>
    <mergeCell ref="D56:J56"/>
    <mergeCell ref="D57:J57"/>
    <mergeCell ref="D58:J58"/>
    <mergeCell ref="D59:J59"/>
    <mergeCell ref="D60:J60"/>
    <mergeCell ref="D61:J61"/>
    <mergeCell ref="D62:J62"/>
    <mergeCell ref="D63:J63"/>
    <mergeCell ref="D64:J64"/>
    <mergeCell ref="D65:J65"/>
    <mergeCell ref="D66:J66"/>
    <mergeCell ref="B68:B74"/>
    <mergeCell ref="D68:J68"/>
    <mergeCell ref="D69:J69"/>
    <mergeCell ref="D70:J70"/>
    <mergeCell ref="D71:J71"/>
    <mergeCell ref="D72:J72"/>
    <mergeCell ref="D73:J73"/>
    <mergeCell ref="D74:J74"/>
    <mergeCell ref="D67:J67"/>
    <mergeCell ref="B28:B34"/>
    <mergeCell ref="B36:E36"/>
    <mergeCell ref="B37:B43"/>
    <mergeCell ref="B15:B23"/>
    <mergeCell ref="D15:J15"/>
    <mergeCell ref="D19:J19"/>
    <mergeCell ref="D24:J24"/>
    <mergeCell ref="D25:J25"/>
    <mergeCell ref="B27:E27"/>
    <mergeCell ref="F18:G18"/>
    <mergeCell ref="A1:P1"/>
    <mergeCell ref="A2:P2"/>
    <mergeCell ref="A3:P3"/>
    <mergeCell ref="A4:D4"/>
    <mergeCell ref="A5:P5"/>
  </mergeCells>
  <conditionalFormatting sqref="E12:R12">
    <cfRule type="expression" dxfId="120" priority="1">
      <formula>E11="SI SE REPORTA"</formula>
    </cfRule>
  </conditionalFormatting>
  <conditionalFormatting sqref="F10">
    <cfRule type="notContainsBlanks" dxfId="119" priority="5">
      <formula>LEN(TRIM(F10))&gt;0</formula>
    </cfRule>
  </conditionalFormatting>
  <conditionalFormatting sqref="F11:S11">
    <cfRule type="expression" dxfId="118" priority="3">
      <formula>E11="NO SE REPORTA"</formula>
    </cfRule>
    <cfRule type="expression" dxfId="117"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600-000000000000}">
      <formula1>0</formula1>
    </dataValidation>
    <dataValidation allowBlank="1" showInputMessage="1" showErrorMessage="1" sqref="I21:I22" xr:uid="{00000000-0002-0000-0600-000001000000}"/>
    <dataValidation type="list" allowBlank="1" showInputMessage="1" showErrorMessage="1" sqref="E11" xr:uid="{00000000-0002-0000-0600-000002000000}">
      <formula1>REPORTE</formula1>
    </dataValidation>
    <dataValidation type="list" allowBlank="1" showInputMessage="1" showErrorMessage="1" sqref="E10" xr:uid="{00000000-0002-0000-0600-000003000000}">
      <formula1>SI</formula1>
    </dataValidation>
  </dataValidations>
  <hyperlinks>
    <hyperlink ref="B9" location="'ANEXO 3'!A1" display="VOLVER AL INDICE" xr:uid="{00000000-0004-0000-0600-000000000000}"/>
    <hyperlink ref="E32" r:id="rId1" xr:uid="{00000000-0004-0000-0600-000001000000}"/>
  </hyperlinks>
  <pageMargins left="0.25" right="0.25" top="0.75" bottom="0.75" header="0.3" footer="0.3"/>
  <pageSetup paperSize="178" orientation="landscape" horizontalDpi="1200" verticalDpi="12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6</vt:i4>
      </vt:variant>
    </vt:vector>
  </HeadingPairs>
  <TitlesOfParts>
    <vt:vector size="42" baseType="lpstr">
      <vt:lpstr>Hoja1</vt:lpstr>
      <vt:lpstr>Informe Ingresos</vt:lpstr>
      <vt:lpstr>PROTOCOLO INGRESOS</vt:lpstr>
      <vt:lpstr>Datos Generales</vt:lpstr>
      <vt:lpstr>Protocolo Inf Gestión</vt:lpstr>
      <vt:lpstr>Anexo1_Matriz avance fisico-fin</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'Protocolo Inf Gestión'!Área_de_impresión</vt:lpstr>
      <vt:lpstr>'Datos Generales'!Lista_CAR</vt:lpstr>
      <vt:lpstr>REPORTE</vt:lpstr>
      <vt:lpstr>SI</vt:lpstr>
      <vt:lpstr>'Datos Generales'!Vigencias</vt:lpstr>
    </vt:vector>
  </TitlesOfParts>
  <Manager>nortiz@claro.net.co</Manager>
  <Company>Derechos protegidos de autor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subject/>
  <dc:creator>Usuario</dc:creator>
  <cp:keywords>Documento No Oficial</cp:keywords>
  <dc:description>Matriz elaborada por Néstor Ortiz Pérez, Consultor GIZ-MADS en el marco de PROMAC</dc:description>
  <cp:lastModifiedBy>Rafael Moreno</cp:lastModifiedBy>
  <cp:revision/>
  <dcterms:created xsi:type="dcterms:W3CDTF">2016-11-26T19:57:08Z</dcterms:created>
  <dcterms:modified xsi:type="dcterms:W3CDTF">2026-02-27T18:42:18Z</dcterms:modified>
  <cp:category>Capacitación</cp:category>
  <cp:contentStatus>Preliminar</cp:contentStatus>
</cp:coreProperties>
</file>